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Jn-svrfile\groups\AQ\General\SIP_BACT_2017\BACT Determinations\Final\Aurora\BACT Economic Analyses\"/>
    </mc:Choice>
  </mc:AlternateContent>
  <bookViews>
    <workbookView xWindow="0" yWindow="1800" windowWidth="17280" windowHeight="9590" activeTab="1"/>
  </bookViews>
  <sheets>
    <sheet name="Read Me" sheetId="9" r:id="rId1"/>
    <sheet name="Data Inputs" sheetId="7" r:id="rId2"/>
    <sheet name="SCR Design Parameters" sheetId="8" r:id="rId3"/>
    <sheet name="Cost Estimate" sheetId="1" r:id="rId4"/>
    <sheet name="ESRI_MAPINFO_SHEET" sheetId="10" state="veryHidden" r:id="rId5"/>
  </sheets>
  <externalReferences>
    <externalReference r:id="rId6"/>
  </externalReferences>
  <definedNames>
    <definedName name="_xlnm.Print_Area" localSheetId="3">'Cost Estimate'!$A$1:$E$105</definedName>
    <definedName name="_xlnm.Print_Area" localSheetId="1">'Data Inputs'!$A$1:$N$74</definedName>
    <definedName name="_xlnm.Print_Area" localSheetId="2">'SCR Design Parameters'!$A$1:$F$65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7" l="1"/>
  <c r="C14" i="7" l="1"/>
  <c r="C12" i="8" l="1"/>
  <c r="K36" i="7" l="1"/>
  <c r="C8" i="8" l="1"/>
  <c r="C24" i="8" l="1"/>
  <c r="H7" i="1" l="1"/>
  <c r="G3" i="1" l="1"/>
  <c r="E21" i="8"/>
  <c r="K20" i="7"/>
  <c r="D53" i="7" l="1"/>
  <c r="G15" i="1" l="1"/>
  <c r="G11" i="1" l="1"/>
  <c r="H17" i="1"/>
  <c r="G17" i="1"/>
  <c r="H15" i="1"/>
  <c r="H13" i="1"/>
  <c r="G13" i="1"/>
  <c r="H11" i="1"/>
  <c r="A87" i="1"/>
  <c r="G45" i="1"/>
  <c r="H9" i="1"/>
  <c r="G7" i="1"/>
  <c r="G43" i="1"/>
  <c r="E7" i="7"/>
  <c r="A7" i="7"/>
  <c r="F26" i="7" l="1"/>
  <c r="H83" i="1" l="1"/>
  <c r="D85" i="1" s="1"/>
  <c r="A86" i="1"/>
  <c r="A84" i="1"/>
  <c r="A85" i="1"/>
  <c r="E82" i="1" l="1"/>
  <c r="D57" i="7" l="1"/>
  <c r="D58" i="7"/>
  <c r="O39" i="7"/>
  <c r="D42" i="7"/>
  <c r="D41" i="7"/>
  <c r="E41" i="7"/>
  <c r="B36" i="7"/>
  <c r="B93" i="1" l="1"/>
  <c r="I59" i="7"/>
  <c r="I58" i="7"/>
  <c r="D59" i="7"/>
  <c r="I57" i="7"/>
  <c r="B24" i="8" l="1"/>
  <c r="B40" i="7" l="1"/>
  <c r="L33" i="8" l="1"/>
  <c r="C33" i="8" s="1"/>
  <c r="I55" i="7"/>
  <c r="J35" i="8"/>
  <c r="B10" i="8"/>
  <c r="V10" i="7" l="1"/>
  <c r="V11" i="7" s="1"/>
  <c r="A30" i="1" l="1"/>
  <c r="E38" i="7"/>
  <c r="G13" i="7" l="1"/>
  <c r="I56" i="7"/>
  <c r="D55" i="7"/>
  <c r="D38" i="7"/>
  <c r="H43" i="1" l="1"/>
  <c r="H45" i="1"/>
  <c r="J32" i="8"/>
  <c r="C22" i="8"/>
  <c r="J37" i="8"/>
  <c r="J34" i="8"/>
  <c r="J33" i="8"/>
  <c r="G9" i="1" l="1"/>
  <c r="H47" i="1"/>
  <c r="D19" i="1"/>
  <c r="B65" i="8"/>
  <c r="E47" i="1" l="1"/>
  <c r="J47" i="8"/>
  <c r="E47" i="8"/>
  <c r="B47" i="8"/>
  <c r="D26" i="1"/>
  <c r="D64" i="7" l="1"/>
  <c r="C23" i="8" l="1"/>
  <c r="B23" i="8" l="1"/>
  <c r="B13" i="7" l="1"/>
  <c r="D104" i="1"/>
  <c r="D102" i="1"/>
  <c r="A8" i="8"/>
  <c r="J19" i="8" l="1"/>
  <c r="C19" i="8" s="1"/>
  <c r="G37" i="1" l="1"/>
  <c r="G62" i="1"/>
  <c r="G53" i="1"/>
  <c r="H53" i="1"/>
  <c r="H62" i="1"/>
  <c r="D56" i="7"/>
  <c r="A56" i="1" l="1"/>
  <c r="E48" i="8" l="1"/>
  <c r="D20" i="8"/>
  <c r="E20" i="8"/>
  <c r="A22" i="8"/>
  <c r="B7" i="8" l="1"/>
  <c r="A7" i="8"/>
  <c r="B6" i="8"/>
  <c r="H19" i="1" l="1"/>
  <c r="D54" i="8"/>
  <c r="G19" i="1" l="1"/>
  <c r="B19" i="1" s="1"/>
  <c r="C6" i="8"/>
  <c r="C51" i="8" s="1"/>
  <c r="C34" i="8" l="1"/>
  <c r="H85" i="1" s="1"/>
  <c r="C16" i="8"/>
  <c r="C35" i="8" s="1"/>
  <c r="C41" i="8" s="1"/>
  <c r="C42" i="8" s="1"/>
  <c r="C7" i="8"/>
  <c r="C10" i="8" s="1"/>
  <c r="C11" i="8" s="1"/>
  <c r="D65" i="7" l="1"/>
  <c r="B53" i="7" l="1"/>
  <c r="D8" i="8"/>
  <c r="D7" i="8"/>
  <c r="B79" i="1"/>
  <c r="E95" i="1"/>
  <c r="E94" i="1"/>
  <c r="E93" i="1"/>
  <c r="E88" i="1"/>
  <c r="E81" i="1"/>
  <c r="E80" i="1"/>
  <c r="E79" i="1"/>
  <c r="D74" i="1"/>
  <c r="D73" i="1"/>
  <c r="D72" i="1"/>
  <c r="E64" i="1"/>
  <c r="E55" i="1"/>
  <c r="E39" i="1"/>
  <c r="D29" i="1"/>
  <c r="D28" i="1"/>
  <c r="D27" i="1"/>
  <c r="D25" i="1"/>
  <c r="C59" i="8"/>
  <c r="K47" i="8"/>
  <c r="C9" i="8"/>
  <c r="H51" i="1" l="1"/>
  <c r="H55" i="1" s="1"/>
  <c r="H60" i="1"/>
  <c r="H64" i="1" s="1"/>
  <c r="G51" i="1"/>
  <c r="G55" i="1" s="1"/>
  <c r="G60" i="1"/>
  <c r="G64" i="1" s="1"/>
  <c r="G35" i="1"/>
  <c r="C64" i="8"/>
  <c r="C20" i="8"/>
  <c r="C52" i="8"/>
  <c r="D55" i="1" l="1"/>
  <c r="B27" i="1" s="1"/>
  <c r="D64" i="1"/>
  <c r="C53" i="8"/>
  <c r="D81" i="1"/>
  <c r="C54" i="8" l="1"/>
  <c r="D80" i="1"/>
  <c r="B28" i="1"/>
  <c r="G47" i="1" l="1"/>
  <c r="D47" i="1" l="1"/>
  <c r="B26" i="1" s="1"/>
  <c r="C13" i="8"/>
  <c r="C14" i="8" s="1"/>
  <c r="C103" i="1" s="1"/>
  <c r="C15" i="8"/>
  <c r="H35" i="1" l="1"/>
  <c r="H37" i="1"/>
  <c r="H87" i="1"/>
  <c r="H86" i="1"/>
  <c r="C36" i="8"/>
  <c r="C43" i="8" s="1"/>
  <c r="C17" i="8"/>
  <c r="H88" i="1" l="1"/>
  <c r="D82" i="1" s="1"/>
  <c r="H38" i="1"/>
  <c r="G38" i="1"/>
  <c r="C18" i="8"/>
  <c r="D39" i="1" l="1"/>
  <c r="B25" i="1" s="1"/>
  <c r="B29" i="1" s="1"/>
  <c r="D94" i="1" s="1"/>
  <c r="D79" i="1" l="1"/>
  <c r="D88" i="1" s="1"/>
  <c r="D93" i="1" l="1"/>
  <c r="D95" i="1" s="1"/>
  <c r="C73" i="1" s="1"/>
  <c r="C72" i="1"/>
  <c r="C74" i="1" l="1"/>
  <c r="C102" i="1" l="1"/>
  <c r="C104" i="1" s="1"/>
</calcChain>
</file>

<file path=xl/comments1.xml><?xml version="1.0" encoding="utf-8"?>
<comments xmlns="http://schemas.openxmlformats.org/spreadsheetml/2006/main">
  <authors>
    <author>Simpson, Aaron</author>
  </authors>
  <commentList>
    <comment ref="D7" authorId="0" shapeId="0">
      <text>
        <r>
          <rPr>
            <b/>
            <sz val="9"/>
            <color indexed="81"/>
            <rFont val="Tahoma"/>
            <family val="2"/>
          </rPr>
          <t>Simpson, Aaron:</t>
        </r>
        <r>
          <rPr>
            <sz val="9"/>
            <color indexed="81"/>
            <rFont val="Tahoma"/>
            <family val="2"/>
          </rPr>
          <t xml:space="preserve">
No basis was provided to justify a retrofit factor reflecting greater than average difficulty for installation of selective catalytic reduction on the boilers.
High retrofit cost factors may be justified in unusual circumstances (e.g., long and unique ductwork and piping, site preparation, tight fits, helicopter or crane installation, additional engineering, and asbestos abatement). </t>
        </r>
      </text>
    </comment>
    <comment ref="C12" authorId="0" shapeId="0">
      <text>
        <r>
          <rPr>
            <b/>
            <sz val="9"/>
            <color indexed="81"/>
            <rFont val="Tahoma"/>
            <family val="2"/>
          </rPr>
          <t>Simpson, Aaron:</t>
        </r>
        <r>
          <rPr>
            <sz val="9"/>
            <color indexed="81"/>
            <rFont val="Tahoma"/>
            <family val="2"/>
          </rPr>
          <t xml:space="preserve">
Typical Gross As Received. http://www.usibelli.com/coal/data-sheet </t>
        </r>
      </text>
    </comment>
    <comment ref="I12" authorId="0" shapeId="0">
      <text>
        <r>
          <rPr>
            <b/>
            <sz val="9"/>
            <color indexed="81"/>
            <rFont val="Tahoma"/>
            <family val="2"/>
          </rPr>
          <t>Simpson, Aaron:</t>
        </r>
        <r>
          <rPr>
            <sz val="9"/>
            <color indexed="81"/>
            <rFont val="Tahoma"/>
            <family val="2"/>
          </rPr>
          <t xml:space="preserve">
SIP Limit</t>
        </r>
      </text>
    </comment>
    <comment ref="C33" authorId="0" shapeId="0">
      <text>
        <r>
          <rPr>
            <b/>
            <sz val="9"/>
            <color indexed="81"/>
            <rFont val="Tahoma"/>
            <family val="2"/>
          </rPr>
          <t>Simpson, Aaron:</t>
        </r>
        <r>
          <rPr>
            <sz val="9"/>
            <color indexed="81"/>
            <rFont val="Tahoma"/>
            <family val="2"/>
          </rPr>
          <t xml:space="preserve">
Emission rate is average from two most recent NOx source tests accepted by the Department which occurred on November 19, 2011 and July 12, 2019.</t>
        </r>
      </text>
    </comment>
    <comment ref="C34" authorId="0" shapeId="0">
      <text>
        <r>
          <rPr>
            <b/>
            <sz val="9"/>
            <color indexed="81"/>
            <rFont val="Tahoma"/>
            <family val="2"/>
          </rPr>
          <t>Simpson, Aaron:</t>
        </r>
        <r>
          <rPr>
            <sz val="9"/>
            <color indexed="81"/>
            <rFont val="Tahoma"/>
            <family val="2"/>
          </rPr>
          <t xml:space="preserve">
EPA's Air Pollution Control Technology Fact Sheet indicating 70 - 90 percent control. https://www3.epa.gov/ttncatc1/dir1/fscr.pdf </t>
        </r>
      </text>
    </comment>
    <comment ref="K36" authorId="0" shapeId="0">
      <text>
        <r>
          <rPr>
            <b/>
            <sz val="9"/>
            <color indexed="81"/>
            <rFont val="Tahoma"/>
            <family val="2"/>
          </rPr>
          <t>Simpson, Aaron:</t>
        </r>
        <r>
          <rPr>
            <sz val="9"/>
            <color indexed="81"/>
            <rFont val="Tahoma"/>
            <family val="2"/>
          </rPr>
          <t xml:space="preserve">
April 7, 2016 Source Test</t>
        </r>
      </text>
    </comment>
    <comment ref="K39" authorId="0" shapeId="0">
      <text>
        <r>
          <rPr>
            <b/>
            <sz val="9"/>
            <color indexed="81"/>
            <rFont val="Tahoma"/>
            <family val="2"/>
          </rPr>
          <t>Simpson, Aaron:</t>
        </r>
        <r>
          <rPr>
            <sz val="9"/>
            <color indexed="81"/>
            <rFont val="Tahoma"/>
            <family val="2"/>
          </rPr>
          <t xml:space="preserve">
April 7, 2016 Source Test</t>
        </r>
      </text>
    </comment>
    <comment ref="C56" authorId="0" shapeId="0">
      <text>
        <r>
          <rPr>
            <b/>
            <sz val="9"/>
            <color indexed="81"/>
            <rFont val="Tahoma"/>
            <family val="2"/>
          </rPr>
          <t>Simpson, Aaron:</t>
        </r>
        <r>
          <rPr>
            <sz val="9"/>
            <color indexed="81"/>
            <rFont val="Tahoma"/>
            <family val="2"/>
          </rPr>
          <t xml:space="preserve">
GVEA rates. http://www.gvea.com/rates/rates</t>
        </r>
      </text>
    </comment>
  </commentList>
</comments>
</file>

<file path=xl/sharedStrings.xml><?xml version="1.0" encoding="utf-8"?>
<sst xmlns="http://schemas.openxmlformats.org/spreadsheetml/2006/main" count="368" uniqueCount="317">
  <si>
    <t>Annual Electricity Cost =</t>
  </si>
  <si>
    <t>Annual Maintenance Cost =</t>
  </si>
  <si>
    <t>Annual Reagent Cost =</t>
  </si>
  <si>
    <t xml:space="preserve">Cost Effectiveness = </t>
  </si>
  <si>
    <t>percent</t>
  </si>
  <si>
    <t>lb/hour</t>
  </si>
  <si>
    <t>days</t>
  </si>
  <si>
    <t>lb/MMBtu</t>
  </si>
  <si>
    <t>Where n = Equipment Life and i= Interest Rate</t>
  </si>
  <si>
    <t>Fuel Oil</t>
  </si>
  <si>
    <t>MMBtu/hour</t>
  </si>
  <si>
    <t>Enter the following data for your combustion unit:</t>
  </si>
  <si>
    <t>Urea</t>
  </si>
  <si>
    <t>Ammonia</t>
  </si>
  <si>
    <t>Natural Gas</t>
  </si>
  <si>
    <t>Utility</t>
  </si>
  <si>
    <t>Industrial</t>
  </si>
  <si>
    <t>What type of fuel does the unit burn?</t>
  </si>
  <si>
    <t>Is the combustion unit a utility or industrial boiler?</t>
  </si>
  <si>
    <t>What is the higher heating value (HHV) of the fuel?</t>
  </si>
  <si>
    <t>Coal</t>
  </si>
  <si>
    <t>Not Applicable</t>
  </si>
  <si>
    <t>fraction</t>
  </si>
  <si>
    <t>hours</t>
  </si>
  <si>
    <t>tons/year</t>
  </si>
  <si>
    <t>Enter the net plant heat input rate (NPHR)</t>
  </si>
  <si>
    <t>MMBtu/MW</t>
  </si>
  <si>
    <t>Type of reagent used</t>
  </si>
  <si>
    <t>gal/hour</t>
  </si>
  <si>
    <t>Percent</t>
  </si>
  <si>
    <t>Indirect Annual Cost (IDAC) =</t>
  </si>
  <si>
    <t xml:space="preserve">Administrative Charges (AC) = </t>
  </si>
  <si>
    <t>AC + CR =</t>
  </si>
  <si>
    <t>Direct Annual Costs (DAC) =</t>
  </si>
  <si>
    <t>Indirect Annual Costs (IDAC) =</t>
  </si>
  <si>
    <t>Total annual costs (TAC) = DAC + IDAC</t>
  </si>
  <si>
    <t xml:space="preserve">Direct Annual Cost = </t>
  </si>
  <si>
    <t>Reagent Data:</t>
  </si>
  <si>
    <t>Electricity Usage:</t>
  </si>
  <si>
    <t>Total Annual Cost (TAC) =</t>
  </si>
  <si>
    <t>Cost Effectiveness = Total Annual Cost/ NOx Removed/year</t>
  </si>
  <si>
    <t>NOx Removed =</t>
  </si>
  <si>
    <t>Annual Costs</t>
  </si>
  <si>
    <t>Fuel Type</t>
  </si>
  <si>
    <t>8.2 MMBtu/MW</t>
  </si>
  <si>
    <t>11 MMBtu/MW</t>
  </si>
  <si>
    <t>10 MMBtu/MW</t>
  </si>
  <si>
    <t>Default NPHR</t>
  </si>
  <si>
    <t xml:space="preserve">If the NPHR is not known, use the default NPHR value:  </t>
  </si>
  <si>
    <t>Cost Effectiveness</t>
  </si>
  <si>
    <t>Bituminous</t>
  </si>
  <si>
    <t>Lignite</t>
  </si>
  <si>
    <t xml:space="preserve"> </t>
  </si>
  <si>
    <t>percent by weight</t>
  </si>
  <si>
    <t>Total Annual Cost (TAC)</t>
  </si>
  <si>
    <t>TAC = Direct Annual Costs + Indirect Annual Costs</t>
  </si>
  <si>
    <t>Direct Annual Costs (DAC)</t>
  </si>
  <si>
    <t>Indirect Annual Cost (IDAC)</t>
  </si>
  <si>
    <t>IDAC = Administrative Charges + Capital Recovery Costs</t>
  </si>
  <si>
    <r>
      <t>Air Pre-Heater Costs (APH</t>
    </r>
    <r>
      <rPr>
        <vertAlign val="subscript"/>
        <sz val="12"/>
        <color theme="1"/>
        <rFont val="Calibri"/>
        <family val="2"/>
        <scheme val="minor"/>
      </rPr>
      <t>cost</t>
    </r>
    <r>
      <rPr>
        <sz val="12"/>
        <color theme="1"/>
        <rFont val="Calibri"/>
        <family val="2"/>
        <scheme val="minor"/>
      </rPr>
      <t xml:space="preserve">) = </t>
    </r>
  </si>
  <si>
    <r>
      <t>q</t>
    </r>
    <r>
      <rPr>
        <vertAlign val="subscript"/>
        <sz val="12"/>
        <color theme="1"/>
        <rFont val="Calibri"/>
        <family val="2"/>
        <scheme val="minor"/>
      </rPr>
      <t>sol</t>
    </r>
    <r>
      <rPr>
        <sz val="12"/>
        <color theme="1"/>
        <rFont val="Calibri"/>
        <family val="2"/>
        <scheme val="minor"/>
      </rPr>
      <t xml:space="preserve"> x Cost</t>
    </r>
    <r>
      <rPr>
        <vertAlign val="subscript"/>
        <sz val="12"/>
        <color theme="1"/>
        <rFont val="Calibri"/>
        <family val="2"/>
        <scheme val="minor"/>
      </rPr>
      <t>reag</t>
    </r>
    <r>
      <rPr>
        <sz val="12"/>
        <color theme="1"/>
        <rFont val="Calibri"/>
        <family val="2"/>
        <scheme val="minor"/>
      </rPr>
      <t xml:space="preserve"> x t</t>
    </r>
    <r>
      <rPr>
        <vertAlign val="subscript"/>
        <sz val="12"/>
        <color theme="1"/>
        <rFont val="Calibri"/>
        <family val="2"/>
        <scheme val="minor"/>
      </rPr>
      <t xml:space="preserve">op </t>
    </r>
    <r>
      <rPr>
        <sz val="12"/>
        <color theme="1"/>
        <rFont val="Calibri"/>
        <family val="2"/>
        <scheme val="minor"/>
      </rPr>
      <t>=</t>
    </r>
  </si>
  <si>
    <r>
      <t>P x Cost</t>
    </r>
    <r>
      <rPr>
        <vertAlign val="subscript"/>
        <sz val="12"/>
        <color theme="1"/>
        <rFont val="Calibri"/>
        <family val="2"/>
        <scheme val="minor"/>
      </rPr>
      <t>elect</t>
    </r>
    <r>
      <rPr>
        <sz val="12"/>
        <color theme="1"/>
        <rFont val="Calibri"/>
        <family val="2"/>
        <scheme val="minor"/>
      </rPr>
      <t xml:space="preserve"> x t</t>
    </r>
    <r>
      <rPr>
        <vertAlign val="subscript"/>
        <sz val="12"/>
        <color theme="1"/>
        <rFont val="Calibri"/>
        <family val="2"/>
        <scheme val="minor"/>
      </rPr>
      <t>op</t>
    </r>
    <r>
      <rPr>
        <sz val="12"/>
        <color theme="1"/>
        <rFont val="Calibri"/>
        <family val="2"/>
        <scheme val="minor"/>
      </rPr>
      <t xml:space="preserve"> = </t>
    </r>
  </si>
  <si>
    <r>
      <t>Maximum Annual Heat Input Rate (Q</t>
    </r>
    <r>
      <rPr>
        <vertAlign val="subscript"/>
        <sz val="12"/>
        <color theme="1"/>
        <rFont val="Calibri"/>
        <family val="2"/>
        <scheme val="minor"/>
      </rPr>
      <t>B</t>
    </r>
    <r>
      <rPr>
        <sz val="12"/>
        <color theme="1"/>
        <rFont val="Calibri"/>
        <family val="2"/>
        <scheme val="minor"/>
      </rPr>
      <t xml:space="preserve">) = </t>
    </r>
  </si>
  <si>
    <t>NPHR/10 =</t>
  </si>
  <si>
    <t>Heat Rate Factor (HRF) =</t>
  </si>
  <si>
    <r>
      <t>Total System Capacity Factor (CF</t>
    </r>
    <r>
      <rPr>
        <vertAlign val="subscript"/>
        <sz val="12"/>
        <color theme="1"/>
        <rFont val="Calibri"/>
        <family val="2"/>
        <scheme val="minor"/>
      </rPr>
      <t>total</t>
    </r>
    <r>
      <rPr>
        <sz val="12"/>
        <color theme="1"/>
        <rFont val="Calibri"/>
        <family val="2"/>
        <scheme val="minor"/>
      </rPr>
      <t>) =</t>
    </r>
  </si>
  <si>
    <t>Select the reagent used</t>
  </si>
  <si>
    <r>
      <t>CF</t>
    </r>
    <r>
      <rPr>
        <vertAlign val="subscript"/>
        <sz val="12"/>
        <color theme="1"/>
        <rFont val="Calibri"/>
        <family val="2"/>
        <scheme val="minor"/>
      </rPr>
      <t>total</t>
    </r>
    <r>
      <rPr>
        <sz val="12"/>
        <color theme="1"/>
        <rFont val="Calibri"/>
        <family val="2"/>
        <scheme val="minor"/>
      </rPr>
      <t xml:space="preserve"> x 8760 =</t>
    </r>
  </si>
  <si>
    <t>NOx Removal Efficiency (EF) =</t>
  </si>
  <si>
    <r>
      <t>(NOx</t>
    </r>
    <r>
      <rPr>
        <vertAlign val="subscript"/>
        <sz val="12"/>
        <color theme="1"/>
        <rFont val="Calibri"/>
        <family val="2"/>
        <scheme val="minor"/>
      </rPr>
      <t>in</t>
    </r>
    <r>
      <rPr>
        <sz val="12"/>
        <color theme="1"/>
        <rFont val="Calibri"/>
        <family val="2"/>
        <scheme val="minor"/>
      </rPr>
      <t xml:space="preserve"> x EF x Q</t>
    </r>
    <r>
      <rPr>
        <vertAlign val="subscript"/>
        <sz val="12"/>
        <color theme="1"/>
        <rFont val="Calibri"/>
        <family val="2"/>
        <scheme val="minor"/>
      </rPr>
      <t>B</t>
    </r>
    <r>
      <rPr>
        <sz val="12"/>
        <color theme="1"/>
        <rFont val="Calibri"/>
        <family val="2"/>
        <scheme val="minor"/>
      </rPr>
      <t xml:space="preserve"> x t</t>
    </r>
    <r>
      <rPr>
        <vertAlign val="subscript"/>
        <sz val="12"/>
        <color theme="1"/>
        <rFont val="Calibri"/>
        <family val="2"/>
        <scheme val="minor"/>
      </rPr>
      <t>op</t>
    </r>
    <r>
      <rPr>
        <sz val="12"/>
        <color theme="1"/>
        <rFont val="Calibri"/>
        <family val="2"/>
        <scheme val="minor"/>
      </rPr>
      <t>)/2000</t>
    </r>
    <r>
      <rPr>
        <sz val="12"/>
        <color theme="1"/>
        <rFont val="Calibri"/>
        <family val="2"/>
        <scheme val="minor"/>
      </rPr>
      <t xml:space="preserve"> =</t>
    </r>
  </si>
  <si>
    <r>
      <t>NOx</t>
    </r>
    <r>
      <rPr>
        <vertAlign val="subscript"/>
        <sz val="12"/>
        <color theme="1"/>
        <rFont val="Calibri"/>
        <family val="2"/>
        <scheme val="minor"/>
      </rPr>
      <t>in</t>
    </r>
    <r>
      <rPr>
        <sz val="12"/>
        <color theme="1"/>
        <rFont val="Calibri"/>
        <family val="2"/>
        <scheme val="minor"/>
      </rPr>
      <t xml:space="preserve"> x EF x Q</t>
    </r>
    <r>
      <rPr>
        <vertAlign val="subscript"/>
        <sz val="12"/>
        <color theme="1"/>
        <rFont val="Calibri"/>
        <family val="2"/>
        <scheme val="minor"/>
      </rPr>
      <t>B</t>
    </r>
    <r>
      <rPr>
        <sz val="12"/>
        <color theme="1"/>
        <rFont val="Calibri"/>
        <family val="2"/>
        <scheme val="minor"/>
      </rPr>
      <t xml:space="preserve"> </t>
    </r>
    <r>
      <rPr>
        <sz val="12"/>
        <color theme="1"/>
        <rFont val="Calibri"/>
        <family val="2"/>
        <scheme val="minor"/>
      </rPr>
      <t xml:space="preserve"> =</t>
    </r>
  </si>
  <si>
    <r>
      <t>Reagent consumption rate (m</t>
    </r>
    <r>
      <rPr>
        <vertAlign val="subscript"/>
        <sz val="12"/>
        <color theme="1"/>
        <rFont val="Calibri"/>
        <family val="2"/>
        <scheme val="minor"/>
      </rPr>
      <t>reagent</t>
    </r>
    <r>
      <rPr>
        <sz val="12"/>
        <color theme="1"/>
        <rFont val="Calibri"/>
        <family val="2"/>
        <scheme val="minor"/>
      </rPr>
      <t xml:space="preserve">) = </t>
    </r>
  </si>
  <si>
    <t>g/mole</t>
  </si>
  <si>
    <r>
      <t>Reagent Usage Rate (m</t>
    </r>
    <r>
      <rPr>
        <vertAlign val="subscript"/>
        <sz val="12"/>
        <color theme="1"/>
        <rFont val="Calibri"/>
        <family val="2"/>
        <scheme val="minor"/>
      </rPr>
      <t>sol</t>
    </r>
    <r>
      <rPr>
        <sz val="12"/>
        <color theme="1"/>
        <rFont val="Calibri"/>
        <family val="2"/>
        <scheme val="minor"/>
      </rPr>
      <t>) =</t>
    </r>
  </si>
  <si>
    <r>
      <t>Number of days reagent is stored (t</t>
    </r>
    <r>
      <rPr>
        <vertAlign val="subscript"/>
        <sz val="11"/>
        <color theme="1"/>
        <rFont val="Calibri"/>
        <family val="2"/>
        <scheme val="minor"/>
      </rPr>
      <t>storage</t>
    </r>
    <r>
      <rPr>
        <sz val="11"/>
        <color theme="1"/>
        <rFont val="Calibri"/>
        <family val="2"/>
        <scheme val="minor"/>
      </rPr>
      <t>)</t>
    </r>
  </si>
  <si>
    <t>NOx removed per hour =</t>
  </si>
  <si>
    <r>
      <t>Total NO</t>
    </r>
    <r>
      <rPr>
        <vertAlign val="subscript"/>
        <sz val="12"/>
        <color theme="1"/>
        <rFont val="Calibri"/>
        <family val="2"/>
        <scheme val="minor"/>
      </rPr>
      <t>x</t>
    </r>
    <r>
      <rPr>
        <sz val="12"/>
        <color theme="1"/>
        <rFont val="Calibri"/>
        <family val="2"/>
        <scheme val="minor"/>
      </rPr>
      <t xml:space="preserve"> removed per year =</t>
    </r>
  </si>
  <si>
    <t>Estimated tank volume for reagent storage =</t>
  </si>
  <si>
    <r>
      <t>Concentration of reagent as stored (C</t>
    </r>
    <r>
      <rPr>
        <vertAlign val="subscript"/>
        <sz val="11"/>
        <color theme="1"/>
        <rFont val="Calibri"/>
        <family val="2"/>
        <scheme val="minor"/>
      </rPr>
      <t>stored</t>
    </r>
    <r>
      <rPr>
        <sz val="11"/>
        <color theme="1"/>
        <rFont val="Calibri"/>
        <family val="2"/>
        <scheme val="minor"/>
      </rPr>
      <t>)</t>
    </r>
  </si>
  <si>
    <t>CRF x TCI =</t>
  </si>
  <si>
    <t>Annual Interest Rate (i)</t>
  </si>
  <si>
    <r>
      <t>Reagent (Cost</t>
    </r>
    <r>
      <rPr>
        <vertAlign val="subscript"/>
        <sz val="11"/>
        <color theme="1"/>
        <rFont val="Calibri"/>
        <family val="2"/>
        <scheme val="minor"/>
      </rPr>
      <t>reag</t>
    </r>
    <r>
      <rPr>
        <sz val="11"/>
        <color theme="1"/>
        <rFont val="Calibri"/>
        <family val="2"/>
        <scheme val="minor"/>
      </rPr>
      <t>)</t>
    </r>
  </si>
  <si>
    <r>
      <t>Electricity (Cost</t>
    </r>
    <r>
      <rPr>
        <vertAlign val="subscript"/>
        <sz val="11"/>
        <color theme="1"/>
        <rFont val="Calibri"/>
        <family val="2"/>
        <scheme val="minor"/>
      </rPr>
      <t>elect</t>
    </r>
    <r>
      <rPr>
        <sz val="11"/>
        <color theme="1"/>
        <rFont val="Calibri"/>
        <family val="2"/>
        <scheme val="minor"/>
      </rPr>
      <t>)</t>
    </r>
  </si>
  <si>
    <t xml:space="preserve">U.S. Environmental Protection Agency </t>
  </si>
  <si>
    <t>Parameter</t>
  </si>
  <si>
    <t>Equation</t>
  </si>
  <si>
    <t>Calculated Value</t>
  </si>
  <si>
    <t>Units</t>
  </si>
  <si>
    <t xml:space="preserve">Molecular Weight of Reagent (MW) = </t>
  </si>
  <si>
    <t>Air Economics Group</t>
  </si>
  <si>
    <t>Health and Environmental Impacts Division</t>
  </si>
  <si>
    <t>Office of Air Quality Planning and Standards</t>
  </si>
  <si>
    <t>Air Pollution Control Cost Estimation Spreadsheet</t>
  </si>
  <si>
    <t>Coal-fired utility boilers with full load capacities greater than or equal to 25 MW.</t>
  </si>
  <si>
    <t>Fuel oil- and natural gas-fired utility boilers with full load capacities greater than or equal to 25 MW.</t>
  </si>
  <si>
    <t>Coal-fired industrial boilers with maximum heat input capacities greater than or equal to 250 MMBtu/hour.</t>
  </si>
  <si>
    <t>Fuel oil- and natural gas-fired industrial boilers with maximum heat input capacities greater than or equal to 250 MMBtu/hour.</t>
  </si>
  <si>
    <t xml:space="preserve">(1)   </t>
  </si>
  <si>
    <t xml:space="preserve">(2)   </t>
  </si>
  <si>
    <t xml:space="preserve">(3)   </t>
  </si>
  <si>
    <t xml:space="preserve">(4)   </t>
  </si>
  <si>
    <t xml:space="preserve">Capital Recovery Factor (CRF) = </t>
  </si>
  <si>
    <t>2012 CEPCI</t>
  </si>
  <si>
    <t>Desired dollar-year</t>
  </si>
  <si>
    <t>Cost Estimate</t>
  </si>
  <si>
    <t>Total Capital Investment (TCI)</t>
  </si>
  <si>
    <t>Total Capital Investment (TCI) =</t>
  </si>
  <si>
    <t xml:space="preserve">Plant Elevation  </t>
  </si>
  <si>
    <t xml:space="preserve">Elevation Factor (ELEVF)  = </t>
  </si>
  <si>
    <t>psia</t>
  </si>
  <si>
    <t>Capital Recovery Factor:</t>
  </si>
  <si>
    <t>Capital Recovery Costs (CR)=</t>
  </si>
  <si>
    <t xml:space="preserve">Instructions </t>
  </si>
  <si>
    <t>Administrative Charges Factor (ACF) =</t>
  </si>
  <si>
    <t>Maintenance Cost Factor (MCF) =</t>
  </si>
  <si>
    <t>Maintenance and Administrative Charges Cost Factors:</t>
  </si>
  <si>
    <t>Note:  The use of CEPCI in this spreadsheet is not an endorsement of the index, but is there merely to allow for availability of a well-known cost index to spreadsheet users. Use of other well-known cost indexes (e.g., M&amp;S) is acceptable.</t>
  </si>
  <si>
    <t>CEPCI = Chemical Engineering Plant Cost Index</t>
  </si>
  <si>
    <t>Data Element</t>
  </si>
  <si>
    <t xml:space="preserve">Data Sources for Default Values Used in Calculations: </t>
  </si>
  <si>
    <t>Enter the sulfur content (%S) =</t>
  </si>
  <si>
    <t xml:space="preserve">SO2 Emission Rate (lbs SO2/MMBtu) = </t>
  </si>
  <si>
    <t>SO2 Emission Rate</t>
  </si>
  <si>
    <r>
      <t>SO</t>
    </r>
    <r>
      <rPr>
        <vertAlign val="subscript"/>
        <sz val="12"/>
        <color theme="1"/>
        <rFont val="Calibri"/>
        <family val="2"/>
        <scheme val="minor"/>
      </rPr>
      <t>2</t>
    </r>
    <r>
      <rPr>
        <sz val="12"/>
        <color theme="1"/>
        <rFont val="Calibri"/>
        <family val="2"/>
        <scheme val="minor"/>
      </rPr>
      <t xml:space="preserve"> Emission rate =  </t>
    </r>
  </si>
  <si>
    <t>Type of coal burned:</t>
  </si>
  <si>
    <t>Sub-Bituminous</t>
  </si>
  <si>
    <t>Density  =</t>
  </si>
  <si>
    <t>Complete all of the highlighted data fields:</t>
  </si>
  <si>
    <t>Data Inputs</t>
  </si>
  <si>
    <t>Feet above sea level</t>
  </si>
  <si>
    <t>(%S/100)x(64/32)*1E6)/HHV =</t>
  </si>
  <si>
    <t>ELEVF</t>
  </si>
  <si>
    <t>14.7 psia/P =</t>
  </si>
  <si>
    <t>50% urea solution</t>
  </si>
  <si>
    <r>
      <t>lbs/ft</t>
    </r>
    <r>
      <rPr>
        <vertAlign val="superscript"/>
        <sz val="11"/>
        <color theme="1"/>
        <rFont val="Calibri"/>
        <family val="2"/>
        <scheme val="minor"/>
      </rPr>
      <t>3</t>
    </r>
  </si>
  <si>
    <r>
      <t>29.4% aqueous NH</t>
    </r>
    <r>
      <rPr>
        <vertAlign val="subscript"/>
        <sz val="11"/>
        <color theme="1"/>
        <rFont val="Calibri"/>
        <family val="2"/>
        <scheme val="minor"/>
      </rPr>
      <t>3</t>
    </r>
  </si>
  <si>
    <r>
      <t>19% aqueous NH</t>
    </r>
    <r>
      <rPr>
        <vertAlign val="subscript"/>
        <sz val="11"/>
        <color theme="1"/>
        <rFont val="Calibri"/>
        <family val="2"/>
        <scheme val="minor"/>
      </rPr>
      <t>3</t>
    </r>
  </si>
  <si>
    <t>Coal blend</t>
  </si>
  <si>
    <t>%S</t>
  </si>
  <si>
    <t>Fraction in Coal Blend</t>
  </si>
  <si>
    <t>HHV (Btu/lb)</t>
  </si>
  <si>
    <t xml:space="preserve">Please click the calculate button to calculate weighted values based on the data in the table above.  </t>
  </si>
  <si>
    <t>Recommended data sources for site-specific information</t>
  </si>
  <si>
    <t xml:space="preserve">Check with reagent vendors for current prices. </t>
  </si>
  <si>
    <t>Check with fuel supplier or use  U.S. Energy Information Administration (EIA) data for most recent year." Available at http://www.eia.gov/electricity/data/eia923/.</t>
  </si>
  <si>
    <t>Fuel supplier or use  U.S. Energy Information Administration (EIA) data for most recent year." Available at http://www.eia.gov/electricity/data/eia923/.</t>
  </si>
  <si>
    <t xml:space="preserve">Plant's utility bill or use U.S. Energy Information Administration (EIA) data for most recent year. Available at http://www.eia.gov/electricity/data.cfm#sales. </t>
  </si>
  <si>
    <r>
      <t>(m</t>
    </r>
    <r>
      <rPr>
        <vertAlign val="subscript"/>
        <sz val="12"/>
        <color theme="1"/>
        <rFont val="Calibri"/>
        <family val="2"/>
        <scheme val="minor"/>
      </rPr>
      <t>sol</t>
    </r>
    <r>
      <rPr>
        <sz val="12"/>
        <color theme="1"/>
        <rFont val="Calibri"/>
        <family val="2"/>
        <scheme val="minor"/>
      </rPr>
      <t xml:space="preserve"> x 7.4805)/Reagent Density</t>
    </r>
  </si>
  <si>
    <t>Higher Heating Value (HHV) (Btu/lb)</t>
  </si>
  <si>
    <t>Electricity Cost ($/kWh)</t>
  </si>
  <si>
    <t>Percent sulfur content for Coal (% weight)</t>
  </si>
  <si>
    <r>
      <t>2116x[(59-(0.00356xh)+459.7)/518.6]</t>
    </r>
    <r>
      <rPr>
        <vertAlign val="superscript"/>
        <sz val="12"/>
        <color theme="1"/>
        <rFont val="Calibri"/>
        <family val="2"/>
        <scheme val="minor"/>
      </rPr>
      <t>5.256</t>
    </r>
    <r>
      <rPr>
        <sz val="12"/>
        <color theme="1"/>
        <rFont val="Calibri"/>
        <family val="2"/>
        <scheme val="minor"/>
      </rPr>
      <t xml:space="preserve"> x (1/144)* =</t>
    </r>
  </si>
  <si>
    <t xml:space="preserve">* Equation is from the National Aeronautics and Space Administration (NASA), Earth Atmosphere Model. Available at https://spaceflightsystems.grc.nasa.gov/education/rocket/atmos.html. </t>
  </si>
  <si>
    <t>For Selective Catalytic Reduction (SCR)</t>
  </si>
  <si>
    <r>
      <rPr>
        <b/>
        <u/>
        <sz val="12"/>
        <color theme="8" tint="-0.499984740745262"/>
        <rFont val="Calibri"/>
        <family val="2"/>
        <scheme val="minor"/>
      </rPr>
      <t>Step 5</t>
    </r>
    <r>
      <rPr>
        <sz val="12"/>
        <color theme="8" tint="-0.499984740745262"/>
        <rFont val="Calibri"/>
        <family val="2"/>
        <scheme val="minor"/>
      </rPr>
      <t xml:space="preserve">: Once all of the data fields are complete, select the </t>
    </r>
    <r>
      <rPr>
        <b/>
        <i/>
        <sz val="12"/>
        <color theme="8" tint="-0.499984740745262"/>
        <rFont val="Calibri"/>
        <family val="2"/>
        <scheme val="minor"/>
      </rPr>
      <t xml:space="preserve">SCR Design Parameters </t>
    </r>
    <r>
      <rPr>
        <sz val="12"/>
        <color theme="8" tint="-0.499984740745262"/>
        <rFont val="Calibri"/>
        <family val="2"/>
        <scheme val="minor"/>
      </rPr>
      <t xml:space="preserve">tab to see the calculated design parameters and the </t>
    </r>
    <r>
      <rPr>
        <b/>
        <i/>
        <sz val="12"/>
        <color theme="8" tint="-0.499984740745262"/>
        <rFont val="Calibri"/>
        <family val="2"/>
        <scheme val="minor"/>
      </rPr>
      <t>Cost Estimate</t>
    </r>
    <r>
      <rPr>
        <sz val="12"/>
        <color theme="8" tint="-0.499984740745262"/>
        <rFont val="Calibri"/>
        <family val="2"/>
        <scheme val="minor"/>
      </rPr>
      <t xml:space="preserve"> tab to view the calculated cost data for the installation and operation of the SCR. </t>
    </r>
  </si>
  <si>
    <t>The spreadsheet can be used to estimate capital and annualized costs for applying SCR, and particularly to the following types of combustion units:</t>
  </si>
  <si>
    <t>SCR Design Parameters</t>
  </si>
  <si>
    <r>
      <t xml:space="preserve">The following design parameters for the SCR were calculated based on the values entered on the </t>
    </r>
    <r>
      <rPr>
        <b/>
        <i/>
        <sz val="12"/>
        <color theme="8" tint="-0.249977111117893"/>
        <rFont val="Calibri"/>
        <family val="2"/>
        <scheme val="minor"/>
      </rPr>
      <t xml:space="preserve">Data Inputs </t>
    </r>
    <r>
      <rPr>
        <b/>
        <sz val="12"/>
        <color theme="8" tint="-0.249977111117893"/>
        <rFont val="Calibri"/>
        <family val="2"/>
        <scheme val="minor"/>
      </rPr>
      <t xml:space="preserve">tab. These values were used to prepare the costs shown on the </t>
    </r>
    <r>
      <rPr>
        <b/>
        <i/>
        <sz val="12"/>
        <color theme="8" tint="-0.249977111117893"/>
        <rFont val="Calibri"/>
        <family val="2"/>
        <scheme val="minor"/>
      </rPr>
      <t>Cost Estimate</t>
    </r>
    <r>
      <rPr>
        <b/>
        <sz val="12"/>
        <color theme="8" tint="-0.249977111117893"/>
        <rFont val="Calibri"/>
        <family val="2"/>
        <scheme val="minor"/>
      </rPr>
      <t xml:space="preserve"> tab.</t>
    </r>
  </si>
  <si>
    <t>Enter the cost data for the proposed SCR:</t>
  </si>
  <si>
    <t>Enter the following design parameters for the proposed SCR:</t>
  </si>
  <si>
    <t>DAC = (Annual Maintenance Cost) + (Annual Reagent Cost) + (Annual Electricity Cost) + (Annual Catalyst Cost)</t>
  </si>
  <si>
    <t>Annual Catalyst Replacement Cost =</t>
  </si>
  <si>
    <r>
      <t>Capital costs for the SCR (SCR</t>
    </r>
    <r>
      <rPr>
        <vertAlign val="subscript"/>
        <sz val="12"/>
        <color theme="1"/>
        <rFont val="Calibri"/>
        <family val="2"/>
        <scheme val="minor"/>
      </rPr>
      <t>cost</t>
    </r>
    <r>
      <rPr>
        <sz val="12"/>
        <color theme="1"/>
        <rFont val="Calibri"/>
        <family val="2"/>
        <scheme val="minor"/>
      </rPr>
      <t>) =</t>
    </r>
  </si>
  <si>
    <r>
      <t>Air Pre-Heater Costs (APHC</t>
    </r>
    <r>
      <rPr>
        <sz val="12"/>
        <color theme="1"/>
        <rFont val="Calibri"/>
        <family val="2"/>
        <scheme val="minor"/>
      </rPr>
      <t xml:space="preserve">)* = </t>
    </r>
  </si>
  <si>
    <t>Reagent Preparation Cost (RPC) =</t>
  </si>
  <si>
    <r>
      <t>SCR Capital Costs (SCR</t>
    </r>
    <r>
      <rPr>
        <b/>
        <vertAlign val="subscript"/>
        <sz val="12"/>
        <color theme="1"/>
        <rFont val="Calibri"/>
        <family val="2"/>
        <scheme val="minor"/>
      </rPr>
      <t>cost</t>
    </r>
    <r>
      <rPr>
        <b/>
        <sz val="12"/>
        <color theme="1"/>
        <rFont val="Calibri"/>
        <family val="2"/>
        <scheme val="minor"/>
      </rPr>
      <t>)</t>
    </r>
  </si>
  <si>
    <r>
      <t>Total operating time for the SCR (t</t>
    </r>
    <r>
      <rPr>
        <vertAlign val="subscript"/>
        <sz val="12"/>
        <color theme="1"/>
        <rFont val="Calibri"/>
        <family val="2"/>
        <scheme val="minor"/>
      </rPr>
      <t>op</t>
    </r>
    <r>
      <rPr>
        <sz val="12"/>
        <color theme="1"/>
        <rFont val="Calibri"/>
        <family val="2"/>
        <scheme val="minor"/>
      </rPr>
      <t>) =</t>
    </r>
  </si>
  <si>
    <t>Coal Factor (CoalF) =</t>
  </si>
  <si>
    <r>
      <t>Number of days the SCR operates (t</t>
    </r>
    <r>
      <rPr>
        <vertAlign val="subscript"/>
        <sz val="11"/>
        <color theme="1"/>
        <rFont val="Calibri"/>
        <family val="2"/>
        <scheme val="minor"/>
      </rPr>
      <t>SCR</t>
    </r>
    <r>
      <rPr>
        <sz val="11"/>
        <color theme="1"/>
        <rFont val="Calibri"/>
        <family val="2"/>
        <scheme val="minor"/>
      </rPr>
      <t>)</t>
    </r>
  </si>
  <si>
    <r>
      <t>Inlet NO</t>
    </r>
    <r>
      <rPr>
        <vertAlign val="subscript"/>
        <sz val="11"/>
        <color theme="1"/>
        <rFont val="Calibri"/>
        <family val="2"/>
        <scheme val="minor"/>
      </rPr>
      <t>x</t>
    </r>
    <r>
      <rPr>
        <sz val="11"/>
        <color theme="1"/>
        <rFont val="Calibri"/>
        <family val="2"/>
        <scheme val="minor"/>
      </rPr>
      <t xml:space="preserve"> Emissions (NOx</t>
    </r>
    <r>
      <rPr>
        <vertAlign val="subscript"/>
        <sz val="11"/>
        <color theme="1"/>
        <rFont val="Calibri"/>
        <family val="2"/>
        <scheme val="minor"/>
      </rPr>
      <t>in</t>
    </r>
    <r>
      <rPr>
        <sz val="11"/>
        <color theme="1"/>
        <rFont val="Calibri"/>
        <family val="2"/>
        <scheme val="minor"/>
      </rPr>
      <t>) to SCR</t>
    </r>
  </si>
  <si>
    <t xml:space="preserve">Densities of typical SCR reagents: </t>
  </si>
  <si>
    <r>
      <t>Number of days the boiler operates (t</t>
    </r>
    <r>
      <rPr>
        <vertAlign val="subscript"/>
        <sz val="11"/>
        <color theme="1"/>
        <rFont val="Calibri"/>
        <family val="2"/>
        <scheme val="minor"/>
      </rPr>
      <t>plant</t>
    </r>
    <r>
      <rPr>
        <sz val="11"/>
        <color theme="1"/>
        <rFont val="Calibri"/>
        <family val="2"/>
        <scheme val="minor"/>
      </rPr>
      <t>)</t>
    </r>
  </si>
  <si>
    <t>acfm</t>
  </si>
  <si>
    <r>
      <t>m</t>
    </r>
    <r>
      <rPr>
        <vertAlign val="subscript"/>
        <sz val="12"/>
        <color theme="1"/>
        <rFont val="Calibri"/>
        <family val="2"/>
        <scheme val="minor"/>
      </rPr>
      <t>reagent</t>
    </r>
    <r>
      <rPr>
        <sz val="12"/>
        <color theme="1"/>
        <rFont val="Calibri"/>
        <family val="2"/>
        <scheme val="minor"/>
      </rPr>
      <t>/Csol =</t>
    </r>
  </si>
  <si>
    <r>
      <t>(m</t>
    </r>
    <r>
      <rPr>
        <vertAlign val="subscript"/>
        <sz val="12"/>
        <color theme="1"/>
        <rFont val="Calibri"/>
        <family val="2"/>
        <scheme val="minor"/>
      </rPr>
      <t>sol</t>
    </r>
    <r>
      <rPr>
        <sz val="12"/>
        <color theme="1"/>
        <rFont val="Calibri"/>
        <family val="2"/>
        <scheme val="minor"/>
      </rPr>
      <t xml:space="preserve"> x 7.4805 x t</t>
    </r>
    <r>
      <rPr>
        <vertAlign val="subscript"/>
        <sz val="12"/>
        <color theme="1"/>
        <rFont val="Calibri"/>
        <family val="2"/>
        <scheme val="minor"/>
      </rPr>
      <t>storage</t>
    </r>
    <r>
      <rPr>
        <sz val="12"/>
        <color theme="1"/>
        <rFont val="Calibri"/>
        <family val="2"/>
        <scheme val="minor"/>
      </rPr>
      <t xml:space="preserve"> x 24)/Reagent Density =</t>
    </r>
  </si>
  <si>
    <t>Reagent Preparation Costs (RPC)</t>
  </si>
  <si>
    <r>
      <t>A x 1,000 x 0.0056 x (CoalF x HRF)</t>
    </r>
    <r>
      <rPr>
        <vertAlign val="superscript"/>
        <sz val="12"/>
        <color theme="1"/>
        <rFont val="Calibri"/>
        <family val="2"/>
        <scheme val="minor"/>
      </rPr>
      <t>0.43</t>
    </r>
    <r>
      <rPr>
        <sz val="12"/>
        <color theme="1"/>
        <rFont val="Calibri"/>
        <family val="2"/>
        <scheme val="minor"/>
      </rPr>
      <t xml:space="preserve"> =</t>
    </r>
  </si>
  <si>
    <t>Catalyst Data:</t>
  </si>
  <si>
    <r>
      <t xml:space="preserve">Catalyst cost (CC </t>
    </r>
    <r>
      <rPr>
        <vertAlign val="subscript"/>
        <sz val="11"/>
        <color theme="1"/>
        <rFont val="Calibri"/>
        <family val="2"/>
        <scheme val="minor"/>
      </rPr>
      <t>replace</t>
    </r>
    <r>
      <rPr>
        <sz val="11"/>
        <color theme="1"/>
        <rFont val="Calibri"/>
        <family val="2"/>
        <scheme val="minor"/>
      </rPr>
      <t>)</t>
    </r>
  </si>
  <si>
    <t>Future worth factor (FWF) =</t>
  </si>
  <si>
    <r>
      <t>Estimated operating life of the catalyst (H</t>
    </r>
    <r>
      <rPr>
        <vertAlign val="subscript"/>
        <sz val="11"/>
        <color theme="1"/>
        <rFont val="Calibri"/>
        <family val="2"/>
        <scheme val="minor"/>
      </rPr>
      <t>catalyst</t>
    </r>
    <r>
      <rPr>
        <sz val="11"/>
        <color theme="1"/>
        <rFont val="Calibri"/>
        <family val="2"/>
        <scheme val="minor"/>
      </rPr>
      <t>)</t>
    </r>
  </si>
  <si>
    <t>Cubic feet</t>
  </si>
  <si>
    <r>
      <t>Number of catalyst layers (R</t>
    </r>
    <r>
      <rPr>
        <vertAlign val="subscript"/>
        <sz val="11"/>
        <color theme="1"/>
        <rFont val="Calibri"/>
        <family val="2"/>
        <scheme val="minor"/>
      </rPr>
      <t>layer</t>
    </r>
    <r>
      <rPr>
        <sz val="11"/>
        <color theme="1"/>
        <rFont val="Calibri"/>
        <family val="2"/>
        <scheme val="minor"/>
      </rPr>
      <t>)</t>
    </r>
  </si>
  <si>
    <t>For Natural Gas-Fired Industrial Boilers &gt;4,100 MMBtu/hour:</t>
  </si>
  <si>
    <t xml:space="preserve">For Oil-Fired Industrial Boilers &gt;5,500 MMBtu/hour: </t>
  </si>
  <si>
    <t>For Natural Gas-Fired Industrial Boilers between 205 and 4,100 MMBTU/hour :</t>
  </si>
  <si>
    <t>For Oil-Fired Industrial Boilers between 275 and 5,500 MMBTU/hour :</t>
  </si>
  <si>
    <t>For Oil and Natural Gas-Fired Utility Boilers &gt;500 MW:</t>
  </si>
  <si>
    <t>TCI for Oil and Natural Gas Boilers</t>
  </si>
  <si>
    <t>TCI for Coal-Fired Boilers</t>
  </si>
  <si>
    <r>
      <t>SCR Capital Costs (SCR</t>
    </r>
    <r>
      <rPr>
        <vertAlign val="subscript"/>
        <sz val="12"/>
        <color theme="1"/>
        <rFont val="Calibri"/>
        <family val="2"/>
        <scheme val="minor"/>
      </rPr>
      <t>cost</t>
    </r>
    <r>
      <rPr>
        <sz val="12"/>
        <color theme="1"/>
        <rFont val="Calibri"/>
        <family val="2"/>
        <scheme val="minor"/>
      </rPr>
      <t xml:space="preserve">) = </t>
    </r>
  </si>
  <si>
    <t>For Coal-Fired Utility Boilers &gt;25MW:</t>
  </si>
  <si>
    <t>Air Pre-Heater Costs (APHC)*</t>
  </si>
  <si>
    <t>For Coal-Fired Industrial Boilers &gt;250 MMBtu/hour:</t>
  </si>
  <si>
    <t>Balance of Plant Costs (BPC)</t>
  </si>
  <si>
    <r>
      <t>Balance of Plant Costs (BPC</t>
    </r>
    <r>
      <rPr>
        <sz val="12"/>
        <color theme="1"/>
        <rFont val="Calibri"/>
        <family val="2"/>
        <scheme val="minor"/>
      </rPr>
      <t>) =</t>
    </r>
  </si>
  <si>
    <t xml:space="preserve">NOx removal factor (NRF) = </t>
  </si>
  <si>
    <t>EF/80</t>
  </si>
  <si>
    <t xml:space="preserve">Reagent Preparation Costs (RPC) = </t>
  </si>
  <si>
    <t>For Coal-Fired Boilers:</t>
  </si>
  <si>
    <r>
      <t>Flue gas flow rate (Q</t>
    </r>
    <r>
      <rPr>
        <vertAlign val="subscript"/>
        <sz val="11"/>
        <color theme="1"/>
        <rFont val="Calibri"/>
        <family val="2"/>
        <scheme val="minor"/>
      </rPr>
      <t>fluegas</t>
    </r>
    <r>
      <rPr>
        <sz val="11"/>
        <color theme="1"/>
        <rFont val="Calibri"/>
        <family val="2"/>
        <scheme val="minor"/>
      </rPr>
      <t xml:space="preserve">)                                              (Enter "UNK" if value is not known) </t>
    </r>
  </si>
  <si>
    <t>Gas temperature at the SCR inlet (T)</t>
  </si>
  <si>
    <r>
      <rPr>
        <vertAlign val="superscript"/>
        <sz val="11"/>
        <rFont val="Calibri"/>
        <family val="2"/>
        <scheme val="minor"/>
      </rPr>
      <t>o</t>
    </r>
    <r>
      <rPr>
        <sz val="11"/>
        <rFont val="Calibri"/>
        <family val="2"/>
        <scheme val="minor"/>
      </rPr>
      <t>F</t>
    </r>
  </si>
  <si>
    <r>
      <t>ft</t>
    </r>
    <r>
      <rPr>
        <vertAlign val="superscript"/>
        <sz val="11"/>
        <rFont val="Calibri"/>
        <family val="2"/>
        <scheme val="minor"/>
      </rPr>
      <t>3</t>
    </r>
    <r>
      <rPr>
        <sz val="11"/>
        <rFont val="Calibri"/>
        <family val="2"/>
        <scheme val="minor"/>
      </rPr>
      <t>/min-MMBtu/hour</t>
    </r>
  </si>
  <si>
    <r>
      <t>Volumetric flue gas flow rate (q</t>
    </r>
    <r>
      <rPr>
        <vertAlign val="subscript"/>
        <sz val="12"/>
        <color theme="1"/>
        <rFont val="Calibri"/>
        <family val="2"/>
        <scheme val="minor"/>
      </rPr>
      <t>flue gas</t>
    </r>
    <r>
      <rPr>
        <sz val="12"/>
        <color theme="1"/>
        <rFont val="Calibri"/>
        <family val="2"/>
        <scheme val="minor"/>
      </rPr>
      <t>) =</t>
    </r>
  </si>
  <si>
    <t xml:space="preserve">Residence Time </t>
  </si>
  <si>
    <r>
      <t>Space velocity (V</t>
    </r>
    <r>
      <rPr>
        <vertAlign val="subscript"/>
        <sz val="12"/>
        <color theme="1"/>
        <rFont val="Calibri"/>
        <family val="2"/>
        <scheme val="minor"/>
      </rPr>
      <t>space</t>
    </r>
    <r>
      <rPr>
        <sz val="12"/>
        <color theme="1"/>
        <rFont val="Calibri"/>
        <family val="2"/>
        <scheme val="minor"/>
      </rPr>
      <t>) =</t>
    </r>
  </si>
  <si>
    <t>hour</t>
  </si>
  <si>
    <t>/hour</t>
  </si>
  <si>
    <r>
      <t>1/V</t>
    </r>
    <r>
      <rPr>
        <vertAlign val="subscript"/>
        <sz val="12"/>
        <color theme="1"/>
        <rFont val="Calibri"/>
        <family val="2"/>
        <scheme val="minor"/>
      </rPr>
      <t>space</t>
    </r>
  </si>
  <si>
    <r>
      <t>q</t>
    </r>
    <r>
      <rPr>
        <vertAlign val="subscript"/>
        <sz val="12"/>
        <color theme="1"/>
        <rFont val="Calibri"/>
        <family val="2"/>
        <scheme val="minor"/>
      </rPr>
      <t>flue gas</t>
    </r>
    <r>
      <rPr>
        <sz val="12"/>
        <color theme="1"/>
        <rFont val="Calibri"/>
        <family val="2"/>
        <scheme val="minor"/>
      </rPr>
      <t>/Vol</t>
    </r>
    <r>
      <rPr>
        <vertAlign val="subscript"/>
        <sz val="12"/>
        <color theme="1"/>
        <rFont val="Calibri"/>
        <family val="2"/>
        <scheme val="minor"/>
      </rPr>
      <t xml:space="preserve">catalyst </t>
    </r>
  </si>
  <si>
    <t>CoalF for blended fuel</t>
  </si>
  <si>
    <r>
      <t>2.81 x Q</t>
    </r>
    <r>
      <rPr>
        <vertAlign val="subscript"/>
        <sz val="11"/>
        <rFont val="Calibri"/>
        <family val="2"/>
        <scheme val="minor"/>
      </rPr>
      <t>B</t>
    </r>
    <r>
      <rPr>
        <sz val="11"/>
        <rFont val="Calibri"/>
        <family val="2"/>
        <scheme val="minor"/>
      </rPr>
      <t xml:space="preserve"> x EF </t>
    </r>
    <r>
      <rPr>
        <vertAlign val="subscript"/>
        <sz val="11"/>
        <rFont val="Calibri"/>
        <family val="2"/>
        <scheme val="minor"/>
      </rPr>
      <t>adj</t>
    </r>
    <r>
      <rPr>
        <sz val="11"/>
        <rFont val="Calibri"/>
        <family val="2"/>
        <scheme val="minor"/>
      </rPr>
      <t xml:space="preserve"> x Slipadj x Noxadj x Sadj x (Tadj/Nscr)</t>
    </r>
  </si>
  <si>
    <t>Ammonia Slip (Slip) provided by vendor</t>
  </si>
  <si>
    <t>ppm</t>
  </si>
  <si>
    <t>EF adj</t>
  </si>
  <si>
    <t>Slipadj</t>
  </si>
  <si>
    <t>Noxadj</t>
  </si>
  <si>
    <t>Sadj</t>
  </si>
  <si>
    <t>Tadj</t>
  </si>
  <si>
    <t>Fraction</t>
  </si>
  <si>
    <r>
      <t>Volume of the catalyst layers (Vol</t>
    </r>
    <r>
      <rPr>
        <vertAlign val="subscript"/>
        <sz val="11"/>
        <color theme="1"/>
        <rFont val="Calibri"/>
        <family val="2"/>
        <scheme val="minor"/>
      </rPr>
      <t>catalyst</t>
    </r>
    <r>
      <rPr>
        <sz val="11"/>
        <color theme="1"/>
        <rFont val="Calibri"/>
        <family val="2"/>
        <scheme val="minor"/>
      </rPr>
      <t xml:space="preserve">)                         (Enter "UNK" if value is not known) </t>
    </r>
  </si>
  <si>
    <r>
      <t>Catalyst volume (Vol</t>
    </r>
    <r>
      <rPr>
        <vertAlign val="subscript"/>
        <sz val="11"/>
        <rFont val="Calibri"/>
        <family val="2"/>
        <scheme val="minor"/>
      </rPr>
      <t>catalyst</t>
    </r>
    <r>
      <rPr>
        <sz val="11"/>
        <rFont val="Calibri"/>
        <family val="2"/>
        <scheme val="minor"/>
      </rPr>
      <t>) =</t>
    </r>
  </si>
  <si>
    <r>
      <t>Cross sectional area of the catalyst (A</t>
    </r>
    <r>
      <rPr>
        <vertAlign val="subscript"/>
        <sz val="12"/>
        <rFont val="Calibri"/>
        <family val="2"/>
        <scheme val="minor"/>
      </rPr>
      <t>catalyst</t>
    </r>
    <r>
      <rPr>
        <sz val="12"/>
        <rFont val="Calibri"/>
        <family val="2"/>
        <scheme val="minor"/>
      </rPr>
      <t>) =</t>
    </r>
  </si>
  <si>
    <r>
      <t>Cross sectional area of the reactor (A</t>
    </r>
    <r>
      <rPr>
        <vertAlign val="subscript"/>
        <sz val="12"/>
        <rFont val="Calibri"/>
        <family val="2"/>
        <scheme val="minor"/>
      </rPr>
      <t>SCR</t>
    </r>
    <r>
      <rPr>
        <sz val="12"/>
        <rFont val="Calibri"/>
        <family val="2"/>
        <scheme val="minor"/>
      </rPr>
      <t xml:space="preserve">) = </t>
    </r>
  </si>
  <si>
    <r>
      <t>1.15 x A</t>
    </r>
    <r>
      <rPr>
        <vertAlign val="subscript"/>
        <sz val="12"/>
        <rFont val="Calibri"/>
        <family val="2"/>
        <scheme val="minor"/>
      </rPr>
      <t>catalyst</t>
    </r>
  </si>
  <si>
    <r>
      <t>ft</t>
    </r>
    <r>
      <rPr>
        <vertAlign val="superscript"/>
        <sz val="12"/>
        <rFont val="Calibri"/>
        <family val="2"/>
        <scheme val="minor"/>
      </rPr>
      <t>2</t>
    </r>
  </si>
  <si>
    <r>
      <t>q</t>
    </r>
    <r>
      <rPr>
        <vertAlign val="subscript"/>
        <sz val="12"/>
        <rFont val="Calibri"/>
        <family val="2"/>
        <scheme val="minor"/>
      </rPr>
      <t>flue gas</t>
    </r>
    <r>
      <rPr>
        <sz val="12"/>
        <rFont val="Calibri"/>
        <family val="2"/>
        <scheme val="minor"/>
      </rPr>
      <t xml:space="preserve"> /(16ft/sec x 60 sec/min)</t>
    </r>
  </si>
  <si>
    <t>Other parameters</t>
  </si>
  <si>
    <t>SCR Reactor Data:</t>
  </si>
  <si>
    <r>
      <t>(A</t>
    </r>
    <r>
      <rPr>
        <vertAlign val="subscript"/>
        <sz val="12"/>
        <rFont val="Calibri"/>
        <family val="2"/>
        <scheme val="minor"/>
      </rPr>
      <t>SCR</t>
    </r>
    <r>
      <rPr>
        <sz val="12"/>
        <rFont val="Calibri"/>
        <family val="2"/>
        <scheme val="minor"/>
      </rPr>
      <t>)</t>
    </r>
    <r>
      <rPr>
        <vertAlign val="superscript"/>
        <sz val="12"/>
        <rFont val="Calibri"/>
        <family val="2"/>
        <scheme val="minor"/>
      </rPr>
      <t>0.5</t>
    </r>
  </si>
  <si>
    <t>feet</t>
  </si>
  <si>
    <r>
      <t>Number of empty catalyst layers (R</t>
    </r>
    <r>
      <rPr>
        <vertAlign val="subscript"/>
        <sz val="11"/>
        <color theme="1"/>
        <rFont val="Calibri"/>
        <family val="2"/>
        <scheme val="minor"/>
      </rPr>
      <t>empty</t>
    </r>
    <r>
      <rPr>
        <sz val="11"/>
        <color theme="1"/>
        <rFont val="Calibri"/>
        <family val="2"/>
        <scheme val="minor"/>
      </rPr>
      <t>)</t>
    </r>
  </si>
  <si>
    <t xml:space="preserve">Reactor length and width dimentions for a square reactor = </t>
  </si>
  <si>
    <t>Reactor height =</t>
  </si>
  <si>
    <r>
      <t>(R</t>
    </r>
    <r>
      <rPr>
        <vertAlign val="subscript"/>
        <sz val="12"/>
        <rFont val="Calibri"/>
        <family val="2"/>
        <scheme val="minor"/>
      </rPr>
      <t>layer</t>
    </r>
    <r>
      <rPr>
        <sz val="12"/>
        <rFont val="Calibri"/>
        <family val="2"/>
        <scheme val="minor"/>
      </rPr>
      <t xml:space="preserve">  + R</t>
    </r>
    <r>
      <rPr>
        <vertAlign val="subscript"/>
        <sz val="12"/>
        <rFont val="Calibri"/>
        <family val="2"/>
        <scheme val="minor"/>
      </rPr>
      <t>empty</t>
    </r>
    <r>
      <rPr>
        <sz val="12"/>
        <rFont val="Calibri"/>
        <family val="2"/>
        <scheme val="minor"/>
      </rPr>
      <t>) x (7ft + h</t>
    </r>
    <r>
      <rPr>
        <vertAlign val="subscript"/>
        <sz val="12"/>
        <rFont val="Calibri"/>
        <family val="2"/>
        <scheme val="minor"/>
      </rPr>
      <t>layer</t>
    </r>
    <r>
      <rPr>
        <sz val="12"/>
        <rFont val="Calibri"/>
        <family val="2"/>
        <scheme val="minor"/>
      </rPr>
      <t>) + 9ft</t>
    </r>
  </si>
  <si>
    <r>
      <t>Height of each catalyst layer (H</t>
    </r>
    <r>
      <rPr>
        <vertAlign val="subscript"/>
        <sz val="12"/>
        <rFont val="Calibri"/>
        <family val="2"/>
        <scheme val="minor"/>
      </rPr>
      <t>layer</t>
    </r>
    <r>
      <rPr>
        <sz val="12"/>
        <rFont val="Calibri"/>
        <family val="2"/>
        <scheme val="minor"/>
      </rPr>
      <t xml:space="preserve">) = </t>
    </r>
  </si>
  <si>
    <r>
      <t>(Vol</t>
    </r>
    <r>
      <rPr>
        <vertAlign val="subscript"/>
        <sz val="12"/>
        <rFont val="Calibri"/>
        <family val="2"/>
        <scheme val="minor"/>
      </rPr>
      <t>catalyst</t>
    </r>
    <r>
      <rPr>
        <sz val="12"/>
        <rFont val="Calibri"/>
        <family val="2"/>
        <scheme val="minor"/>
      </rPr>
      <t>/(R</t>
    </r>
    <r>
      <rPr>
        <vertAlign val="subscript"/>
        <sz val="12"/>
        <rFont val="Calibri"/>
        <family val="2"/>
        <scheme val="minor"/>
      </rPr>
      <t>layer</t>
    </r>
    <r>
      <rPr>
        <sz val="12"/>
        <rFont val="Calibri"/>
        <family val="2"/>
        <scheme val="minor"/>
      </rPr>
      <t xml:space="preserve"> x A</t>
    </r>
    <r>
      <rPr>
        <vertAlign val="subscript"/>
        <sz val="12"/>
        <rFont val="Calibri"/>
        <family val="2"/>
        <scheme val="minor"/>
      </rPr>
      <t>catalyst</t>
    </r>
    <r>
      <rPr>
        <sz val="12"/>
        <rFont val="Calibri"/>
        <family val="2"/>
        <scheme val="minor"/>
      </rPr>
      <t>)) + 1</t>
    </r>
  </si>
  <si>
    <t>Default Value</t>
  </si>
  <si>
    <t xml:space="preserve">Check with vendors for current prices. </t>
  </si>
  <si>
    <t>Sources for Default Value</t>
  </si>
  <si>
    <t>Catalyst Cost ($/cubic foot)</t>
  </si>
  <si>
    <t>Average annual electricity cost for utilities is based on 2014 electricity production cost data for fossil-fuel plants compiled by the U.S. Energy Information (EIA). Available at http://www.eia.gov/tools/faqs/faq.cfm?id=19&amp;t=3.</t>
  </si>
  <si>
    <r>
      <t>lb/ft</t>
    </r>
    <r>
      <rPr>
        <vertAlign val="superscript"/>
        <sz val="12"/>
        <color theme="1"/>
        <rFont val="Calibri"/>
        <family val="2"/>
        <scheme val="minor"/>
      </rPr>
      <t>3</t>
    </r>
  </si>
  <si>
    <t>NOx Removal Efficiency (EF) provided by vendor</t>
  </si>
  <si>
    <r>
      <t>Q</t>
    </r>
    <r>
      <rPr>
        <vertAlign val="subscript"/>
        <sz val="12"/>
        <color theme="1"/>
        <rFont val="Calibri"/>
        <family val="2"/>
        <scheme val="minor"/>
      </rPr>
      <t>fuel</t>
    </r>
    <r>
      <rPr>
        <sz val="12"/>
        <color theme="1"/>
        <rFont val="Calibri"/>
        <family val="2"/>
        <scheme val="minor"/>
      </rPr>
      <t xml:space="preserve"> x QB x (460 + T)/(460 + 700)n</t>
    </r>
    <r>
      <rPr>
        <vertAlign val="subscript"/>
        <sz val="12"/>
        <color theme="1"/>
        <rFont val="Calibri"/>
        <family val="2"/>
        <scheme val="minor"/>
      </rPr>
      <t>scr</t>
    </r>
  </si>
  <si>
    <r>
      <t>This spreadsheet allows users to estimate the capital and annualized costs for installing and operating a Selective Catalytic Reduction (SCR) control device. SCR is a post-combustion control technology for reducing NO</t>
    </r>
    <r>
      <rPr>
        <vertAlign val="subscript"/>
        <sz val="12"/>
        <color theme="8" tint="-0.499984740745262"/>
        <rFont val="Calibri"/>
        <family val="2"/>
        <scheme val="minor"/>
      </rPr>
      <t>x</t>
    </r>
    <r>
      <rPr>
        <sz val="12"/>
        <color theme="8" tint="-0.499984740745262"/>
        <rFont val="Calibri"/>
        <family val="2"/>
        <scheme val="minor"/>
      </rPr>
      <t xml:space="preserve"> emissions that employs a metal-based catalyst and an ammonia-based reducing reagent (urea or ammonia). The reagent reacts selectively with the flue gas NO</t>
    </r>
    <r>
      <rPr>
        <vertAlign val="subscript"/>
        <sz val="12"/>
        <color theme="8" tint="-0.499984740745262"/>
        <rFont val="Calibri"/>
        <family val="2"/>
        <scheme val="minor"/>
      </rPr>
      <t>x</t>
    </r>
    <r>
      <rPr>
        <sz val="12"/>
        <color theme="8" tint="-0.499984740745262"/>
        <rFont val="Calibri"/>
        <family val="2"/>
        <scheme val="minor"/>
      </rPr>
      <t xml:space="preserve"> within a specific temperature range to produce N</t>
    </r>
    <r>
      <rPr>
        <vertAlign val="subscript"/>
        <sz val="12"/>
        <color theme="8" tint="-0.499984740745262"/>
        <rFont val="Calibri"/>
        <family val="2"/>
        <scheme val="minor"/>
      </rPr>
      <t>2</t>
    </r>
    <r>
      <rPr>
        <sz val="12"/>
        <color theme="8" tint="-0.499984740745262"/>
        <rFont val="Calibri"/>
        <family val="2"/>
        <scheme val="minor"/>
      </rPr>
      <t xml:space="preserve"> and water vapor. </t>
    </r>
  </si>
  <si>
    <r>
      <rPr>
        <b/>
        <u/>
        <sz val="12"/>
        <color theme="8" tint="-0.499984740745262"/>
        <rFont val="Calibri"/>
        <family val="2"/>
        <scheme val="minor"/>
      </rPr>
      <t>Step 1</t>
    </r>
    <r>
      <rPr>
        <b/>
        <sz val="12"/>
        <color theme="8" tint="-0.499984740745262"/>
        <rFont val="Calibri"/>
        <family val="2"/>
        <scheme val="minor"/>
      </rPr>
      <t xml:space="preserve">: </t>
    </r>
    <r>
      <rPr>
        <sz val="12"/>
        <color theme="8" tint="-0.499984740745262"/>
        <rFont val="Calibri"/>
        <family val="2"/>
        <scheme val="minor"/>
      </rPr>
      <t xml:space="preserve">Please select on the </t>
    </r>
    <r>
      <rPr>
        <b/>
        <i/>
        <sz val="12"/>
        <color theme="8" tint="-0.499984740745262"/>
        <rFont val="Calibri"/>
        <family val="2"/>
        <scheme val="minor"/>
      </rPr>
      <t>Data Inputs</t>
    </r>
    <r>
      <rPr>
        <sz val="12"/>
        <color theme="8" tint="-0.499984740745262"/>
        <rFont val="Calibri"/>
        <family val="2"/>
        <scheme val="minor"/>
      </rPr>
      <t xml:space="preserve"> tab and click on the </t>
    </r>
    <r>
      <rPr>
        <b/>
        <i/>
        <sz val="12"/>
        <color theme="8" tint="-0.499984740745262"/>
        <rFont val="Calibri"/>
        <family val="2"/>
        <scheme val="minor"/>
      </rPr>
      <t>Reset Form</t>
    </r>
    <r>
      <rPr>
        <sz val="12"/>
        <color theme="8" tint="-0.499984740745262"/>
        <rFont val="Calibri"/>
        <family val="2"/>
        <scheme val="minor"/>
      </rPr>
      <t xml:space="preserve"> button. This will clear many of the input cells and reset others to default values.   </t>
    </r>
  </si>
  <si>
    <t>Reagent Cost ($/gallon)</t>
  </si>
  <si>
    <t>Years*</t>
  </si>
  <si>
    <t>Estimated SCR equipment life</t>
  </si>
  <si>
    <t>Is the SCR for a new boiler or retrofit of an existing boiler?</t>
  </si>
  <si>
    <t>New Construction</t>
  </si>
  <si>
    <t>Retrofit</t>
  </si>
  <si>
    <t xml:space="preserve">New </t>
  </si>
  <si>
    <t xml:space="preserve">Cichanowicz, J.E. "Current Capital Cost and Cost-Effectiveness of Power Plant Emissions Control Technologies", July 2013. </t>
  </si>
  <si>
    <t>Based on the average of vendor quotes from 2011 - 2013.</t>
  </si>
  <si>
    <t>For Coal-Fired Utility Boilers &gt;25  MW:</t>
  </si>
  <si>
    <r>
      <t>TCI = 1.3 x (SCR</t>
    </r>
    <r>
      <rPr>
        <vertAlign val="subscript"/>
        <sz val="12"/>
        <color theme="1"/>
        <rFont val="Calibri"/>
        <family val="2"/>
        <scheme val="minor"/>
      </rPr>
      <t>cost</t>
    </r>
    <r>
      <rPr>
        <sz val="12"/>
        <color theme="1"/>
        <rFont val="Calibri"/>
        <family val="2"/>
        <scheme val="minor"/>
      </rPr>
      <t xml:space="preserve"> + RPC + APHC + BPC)</t>
    </r>
  </si>
  <si>
    <r>
      <t>(interest rate)(1/((1+ interest rate)</t>
    </r>
    <r>
      <rPr>
        <vertAlign val="superscript"/>
        <sz val="11"/>
        <rFont val="Calibri"/>
        <family val="2"/>
        <scheme val="minor"/>
      </rPr>
      <t>Y</t>
    </r>
    <r>
      <rPr>
        <sz val="11"/>
        <rFont val="Calibri"/>
        <family val="2"/>
        <scheme val="minor"/>
      </rPr>
      <t xml:space="preserve"> -1)</t>
    </r>
    <r>
      <rPr>
        <vertAlign val="superscript"/>
        <sz val="11"/>
        <rFont val="Calibri"/>
        <family val="2"/>
        <scheme val="minor"/>
      </rPr>
      <t xml:space="preserve"> </t>
    </r>
    <r>
      <rPr>
        <sz val="11"/>
        <rFont val="Calibri"/>
        <family val="2"/>
        <scheme val="minor"/>
      </rPr>
      <t>, where Y = H</t>
    </r>
    <r>
      <rPr>
        <vertAlign val="subscript"/>
        <sz val="11"/>
        <rFont val="Calibri"/>
        <family val="2"/>
        <scheme val="minor"/>
      </rPr>
      <t>catalyts</t>
    </r>
    <r>
      <rPr>
        <sz val="11"/>
        <rFont val="Calibri"/>
        <family val="2"/>
        <scheme val="minor"/>
      </rPr>
      <t>/(t</t>
    </r>
    <r>
      <rPr>
        <vertAlign val="subscript"/>
        <sz val="11"/>
        <rFont val="Calibri"/>
        <family val="2"/>
        <scheme val="minor"/>
      </rPr>
      <t xml:space="preserve">SCR </t>
    </r>
    <r>
      <rPr>
        <sz val="11"/>
        <rFont val="Calibri"/>
        <family val="2"/>
        <scheme val="minor"/>
      </rPr>
      <t>x 24 hours) rounded to the nearest integer</t>
    </r>
  </si>
  <si>
    <r>
      <t>Balance of Plant Costs (BOP</t>
    </r>
    <r>
      <rPr>
        <vertAlign val="subscript"/>
        <sz val="12"/>
        <color theme="1"/>
        <rFont val="Calibri"/>
        <family val="2"/>
        <scheme val="minor"/>
      </rPr>
      <t>cost</t>
    </r>
    <r>
      <rPr>
        <sz val="12"/>
        <color theme="1"/>
        <rFont val="Calibri"/>
        <family val="2"/>
        <scheme val="minor"/>
      </rPr>
      <t>) =</t>
    </r>
  </si>
  <si>
    <t>Retrofit Factor (RF)</t>
  </si>
  <si>
    <t>Operator Labor Rate</t>
  </si>
  <si>
    <t>Operator Hours/Day</t>
  </si>
  <si>
    <r>
      <t>(NOx</t>
    </r>
    <r>
      <rPr>
        <vertAlign val="subscript"/>
        <sz val="12"/>
        <color theme="1"/>
        <rFont val="Calibri"/>
        <family val="2"/>
        <scheme val="minor"/>
      </rPr>
      <t>in</t>
    </r>
    <r>
      <rPr>
        <sz val="12"/>
        <color theme="1"/>
        <rFont val="Calibri"/>
        <family val="2"/>
        <scheme val="minor"/>
      </rPr>
      <t xml:space="preserve"> x Q</t>
    </r>
    <r>
      <rPr>
        <vertAlign val="subscript"/>
        <sz val="12"/>
        <color theme="1"/>
        <rFont val="Calibri"/>
        <family val="2"/>
        <scheme val="minor"/>
      </rPr>
      <t>B</t>
    </r>
    <r>
      <rPr>
        <sz val="12"/>
        <color theme="1"/>
        <rFont val="Calibri"/>
        <family val="2"/>
        <scheme val="minor"/>
      </rPr>
      <t xml:space="preserve"> x EF x SFR x MW</t>
    </r>
    <r>
      <rPr>
        <vertAlign val="subscript"/>
        <sz val="12"/>
        <color theme="1"/>
        <rFont val="Calibri"/>
        <family val="2"/>
        <scheme val="minor"/>
      </rPr>
      <t>R</t>
    </r>
    <r>
      <rPr>
        <sz val="12"/>
        <color theme="1"/>
        <rFont val="Calibri"/>
        <family val="2"/>
        <scheme val="minor"/>
      </rPr>
      <t>)/MW</t>
    </r>
    <r>
      <rPr>
        <vertAlign val="subscript"/>
        <sz val="12"/>
        <color theme="1"/>
        <rFont val="Calibri"/>
        <family val="2"/>
        <scheme val="minor"/>
      </rPr>
      <t>NOx</t>
    </r>
    <r>
      <rPr>
        <sz val="12"/>
        <color theme="1"/>
        <rFont val="Calibri"/>
        <family val="2"/>
        <scheme val="minor"/>
      </rPr>
      <t xml:space="preserve"> =</t>
    </r>
  </si>
  <si>
    <t>Stoichiometric Ratio Factor (SRF)</t>
  </si>
  <si>
    <t>Method 1</t>
  </si>
  <si>
    <r>
      <t>i (1+ i)</t>
    </r>
    <r>
      <rPr>
        <vertAlign val="superscript"/>
        <sz val="12"/>
        <color theme="1"/>
        <rFont val="Calibri"/>
        <family val="2"/>
        <scheme val="minor"/>
      </rPr>
      <t>n</t>
    </r>
    <r>
      <rPr>
        <sz val="12"/>
        <color theme="1"/>
        <rFont val="Calibri"/>
        <family val="2"/>
        <scheme val="minor"/>
      </rPr>
      <t>/(1+ i)</t>
    </r>
    <r>
      <rPr>
        <vertAlign val="superscript"/>
        <sz val="12"/>
        <color theme="1"/>
        <rFont val="Calibri"/>
        <family val="2"/>
        <scheme val="minor"/>
      </rPr>
      <t>n</t>
    </r>
    <r>
      <rPr>
        <sz val="12"/>
        <color theme="1"/>
        <rFont val="Calibri"/>
        <family val="2"/>
        <scheme val="minor"/>
      </rPr>
      <t xml:space="preserve"> - 1 =</t>
    </r>
  </si>
  <si>
    <r>
      <t>Number of SCR reactor chambers (n</t>
    </r>
    <r>
      <rPr>
        <vertAlign val="subscript"/>
        <sz val="11"/>
        <color theme="1"/>
        <rFont val="Calibri"/>
        <family val="2"/>
        <scheme val="minor"/>
      </rPr>
      <t>scr</t>
    </r>
    <r>
      <rPr>
        <sz val="11"/>
        <color theme="1"/>
        <rFont val="Calibri"/>
        <family val="2"/>
        <scheme val="minor"/>
      </rPr>
      <t>)</t>
    </r>
  </si>
  <si>
    <t>(May 2016)</t>
  </si>
  <si>
    <t>Provide the following information for coal-fired boilers:</t>
  </si>
  <si>
    <t>For units burning coal blends:</t>
  </si>
  <si>
    <t>Btu/lb</t>
  </si>
  <si>
    <t>2014 coal data compiled by the Office of Oil, Gas, and Coal Supply Statistics, U.S. Energy Information Administration (EIA) from data reported on EIA Form EIA-923, Power Plant Operations Report. Available at http://www.eia.gov/electricity/data/eia923/.</t>
  </si>
  <si>
    <t>Average sulfur content based on U.S. coal data for 2014 compiled by the U.S. Energy Information Administration (EIA) from data reported on EIA Form EIA-923, Power Plant Operations Report. Available at http://www.eia.gov/electricity/data/eia923/.</t>
  </si>
  <si>
    <t>For Oil and Natural Gas-Fired Utility Boilers between 25MW and 500 MW:</t>
  </si>
  <si>
    <t>Method 2 (utility)</t>
  </si>
  <si>
    <t>Method 2 (industrial)</t>
  </si>
  <si>
    <r>
      <t>(Q</t>
    </r>
    <r>
      <rPr>
        <vertAlign val="subscript"/>
        <sz val="12"/>
        <color theme="1"/>
        <rFont val="Calibri"/>
        <family val="2"/>
        <scheme val="minor"/>
      </rPr>
      <t>B</t>
    </r>
    <r>
      <rPr>
        <sz val="12"/>
        <color theme="1"/>
        <rFont val="Calibri"/>
        <family val="2"/>
        <scheme val="minor"/>
      </rPr>
      <t>/NPHR) x 0.4 x (CoalF)</t>
    </r>
    <r>
      <rPr>
        <vertAlign val="superscript"/>
        <sz val="12"/>
        <color theme="1"/>
        <rFont val="Calibri"/>
        <family val="2"/>
        <scheme val="minor"/>
      </rPr>
      <t>2.9</t>
    </r>
    <r>
      <rPr>
        <sz val="12"/>
        <color theme="1"/>
        <rFont val="Calibri"/>
        <family val="2"/>
        <scheme val="minor"/>
      </rPr>
      <t xml:space="preserve"> x (NRF)</t>
    </r>
    <r>
      <rPr>
        <vertAlign val="superscript"/>
        <sz val="12"/>
        <color theme="1"/>
        <rFont val="Calibri"/>
        <family val="2"/>
        <scheme val="minor"/>
      </rPr>
      <t>0.71</t>
    </r>
    <r>
      <rPr>
        <sz val="12"/>
        <color theme="1"/>
        <rFont val="Calibri"/>
        <family val="2"/>
        <scheme val="minor"/>
      </rPr>
      <t xml:space="preserve"> x (CC</t>
    </r>
    <r>
      <rPr>
        <vertAlign val="subscript"/>
        <sz val="12"/>
        <color theme="1"/>
        <rFont val="Calibri"/>
        <family val="2"/>
        <scheme val="minor"/>
      </rPr>
      <t>replace</t>
    </r>
    <r>
      <rPr>
        <sz val="12"/>
        <color theme="1"/>
        <rFont val="Calibri"/>
        <family val="2"/>
        <scheme val="minor"/>
      </rPr>
      <t xml:space="preserve">) x 35.3 </t>
    </r>
  </si>
  <si>
    <r>
      <t>B</t>
    </r>
    <r>
      <rPr>
        <vertAlign val="subscript"/>
        <sz val="12"/>
        <color theme="1"/>
        <rFont val="Calibri"/>
        <family val="2"/>
        <scheme val="minor"/>
      </rPr>
      <t>MW</t>
    </r>
    <r>
      <rPr>
        <sz val="12"/>
        <color theme="1"/>
        <rFont val="Calibri"/>
        <family val="2"/>
        <scheme val="minor"/>
      </rPr>
      <t xml:space="preserve"> x 0.4 x (CoalF)</t>
    </r>
    <r>
      <rPr>
        <vertAlign val="superscript"/>
        <sz val="12"/>
        <color theme="1"/>
        <rFont val="Calibri"/>
        <family val="2"/>
        <scheme val="minor"/>
      </rPr>
      <t>2.9</t>
    </r>
    <r>
      <rPr>
        <sz val="12"/>
        <color theme="1"/>
        <rFont val="Calibri"/>
        <family val="2"/>
        <scheme val="minor"/>
      </rPr>
      <t xml:space="preserve"> x (NRF)</t>
    </r>
    <r>
      <rPr>
        <vertAlign val="superscript"/>
        <sz val="12"/>
        <color theme="1"/>
        <rFont val="Calibri"/>
        <family val="2"/>
        <scheme val="minor"/>
      </rPr>
      <t>0.71</t>
    </r>
    <r>
      <rPr>
        <sz val="12"/>
        <color theme="1"/>
        <rFont val="Calibri"/>
        <family val="2"/>
        <scheme val="minor"/>
      </rPr>
      <t xml:space="preserve"> x (CC</t>
    </r>
    <r>
      <rPr>
        <vertAlign val="subscript"/>
        <sz val="12"/>
        <color theme="1"/>
        <rFont val="Calibri"/>
        <family val="2"/>
        <scheme val="minor"/>
      </rPr>
      <t>replace</t>
    </r>
    <r>
      <rPr>
        <sz val="12"/>
        <color theme="1"/>
        <rFont val="Calibri"/>
        <family val="2"/>
        <scheme val="minor"/>
      </rPr>
      <t xml:space="preserve">) x 35.3      </t>
    </r>
  </si>
  <si>
    <r>
      <t>n</t>
    </r>
    <r>
      <rPr>
        <vertAlign val="subscript"/>
        <sz val="12"/>
        <color theme="1"/>
        <rFont val="Calibri"/>
        <family val="2"/>
        <scheme val="minor"/>
      </rPr>
      <t>scr</t>
    </r>
    <r>
      <rPr>
        <sz val="12"/>
        <color theme="1"/>
        <rFont val="Calibri"/>
        <family val="2"/>
        <scheme val="minor"/>
      </rPr>
      <t xml:space="preserve"> x Vol</t>
    </r>
    <r>
      <rPr>
        <vertAlign val="subscript"/>
        <sz val="12"/>
        <color theme="1"/>
        <rFont val="Calibri"/>
        <family val="2"/>
        <scheme val="minor"/>
      </rPr>
      <t>cat</t>
    </r>
    <r>
      <rPr>
        <sz val="12"/>
        <color theme="1"/>
        <rFont val="Calibri"/>
        <family val="2"/>
        <scheme val="minor"/>
      </rPr>
      <t xml:space="preserve"> x (CC</t>
    </r>
    <r>
      <rPr>
        <vertAlign val="subscript"/>
        <sz val="12"/>
        <color theme="1"/>
        <rFont val="Calibri"/>
        <family val="2"/>
        <scheme val="minor"/>
      </rPr>
      <t>replace</t>
    </r>
    <r>
      <rPr>
        <sz val="12"/>
        <color theme="1"/>
        <rFont val="Calibri"/>
        <family val="2"/>
        <scheme val="minor"/>
      </rPr>
      <t>/R</t>
    </r>
    <r>
      <rPr>
        <vertAlign val="subscript"/>
        <sz val="12"/>
        <color theme="1"/>
        <rFont val="Calibri"/>
        <family val="2"/>
        <scheme val="minor"/>
      </rPr>
      <t>layer</t>
    </r>
    <r>
      <rPr>
        <sz val="12"/>
        <color theme="1"/>
        <rFont val="Calibri"/>
        <family val="2"/>
        <scheme val="minor"/>
      </rPr>
      <t>) x FWF</t>
    </r>
  </si>
  <si>
    <r>
      <rPr>
        <b/>
        <u/>
        <sz val="12"/>
        <color theme="8" tint="-0.499984740745262"/>
        <rFont val="Calibri"/>
        <family val="2"/>
        <scheme val="minor"/>
      </rPr>
      <t>Step 3</t>
    </r>
    <r>
      <rPr>
        <b/>
        <sz val="12"/>
        <color theme="8" tint="-0.499984740745262"/>
        <rFont val="Calibri"/>
        <family val="2"/>
        <scheme val="minor"/>
      </rPr>
      <t xml:space="preserve">:  </t>
    </r>
    <r>
      <rPr>
        <sz val="12"/>
        <color theme="8" tint="-0.499984740745262"/>
        <rFont val="Calibri"/>
        <family val="2"/>
        <scheme val="minor"/>
      </rPr>
      <t xml:space="preserve">Select the type of fuel burned (coal, fuel oil, and natural gas) using the pull down menu. If you select fuel oil or natural gas, the HHV and NPHR fields will be prepopulated with default values. If you select coal, then you must complete the coal input box by first selecting the type of coal burned from the drop down menu. The weight percent sulfur content, HHV, and NPHR will be pre-populated with default factors based on the type of coal selected. However, we encourage you to enter your own values for these parameters, if they are known, since the actual fuel parameters may vary from the default values provided. Method 1 is pre-selected as the default method for calculating the catalyst replacement cost. For coal-fired units, you choose either method 1 or method 2 for calculating the catalyst replacement cost by selecting appropriate radio button. </t>
    </r>
  </si>
  <si>
    <t>UNK</t>
  </si>
  <si>
    <r>
      <t>SCR</t>
    </r>
    <r>
      <rPr>
        <vertAlign val="subscript"/>
        <sz val="12"/>
        <color theme="1"/>
        <rFont val="Calibri"/>
        <family val="2"/>
        <scheme val="minor"/>
      </rPr>
      <t>cost</t>
    </r>
    <r>
      <rPr>
        <sz val="12"/>
        <color theme="1"/>
        <rFont val="Calibri"/>
        <family val="2"/>
        <scheme val="minor"/>
      </rPr>
      <t xml:space="preserve"> = 270,000 x (NRF)</t>
    </r>
    <r>
      <rPr>
        <vertAlign val="superscript"/>
        <sz val="12"/>
        <color theme="1"/>
        <rFont val="Calibri"/>
        <family val="2"/>
        <scheme val="minor"/>
      </rPr>
      <t>0.2</t>
    </r>
    <r>
      <rPr>
        <sz val="12"/>
        <color theme="1"/>
        <rFont val="Calibri"/>
        <family val="2"/>
        <scheme val="minor"/>
      </rPr>
      <t xml:space="preserve"> x (B</t>
    </r>
    <r>
      <rPr>
        <vertAlign val="subscript"/>
        <sz val="12"/>
        <color theme="1"/>
        <rFont val="Calibri"/>
        <family val="2"/>
        <scheme val="minor"/>
      </rPr>
      <t>MW</t>
    </r>
    <r>
      <rPr>
        <sz val="12"/>
        <color theme="1"/>
        <rFont val="Calibri"/>
        <family val="2"/>
        <scheme val="minor"/>
      </rPr>
      <t xml:space="preserve"> x HRF x CoalF)</t>
    </r>
    <r>
      <rPr>
        <vertAlign val="superscript"/>
        <sz val="12"/>
        <color theme="1"/>
        <rFont val="Calibri"/>
        <family val="2"/>
        <scheme val="minor"/>
      </rPr>
      <t>0.92</t>
    </r>
    <r>
      <rPr>
        <sz val="12"/>
        <color theme="1"/>
        <rFont val="Calibri"/>
        <family val="2"/>
        <scheme val="minor"/>
      </rPr>
      <t xml:space="preserve"> x ELEVF x RF</t>
    </r>
  </si>
  <si>
    <r>
      <t>RPC = 490,000 x (NOx</t>
    </r>
    <r>
      <rPr>
        <vertAlign val="subscript"/>
        <sz val="12"/>
        <color theme="1"/>
        <rFont val="Calibri"/>
        <family val="2"/>
        <scheme val="minor"/>
      </rPr>
      <t>in</t>
    </r>
    <r>
      <rPr>
        <sz val="12"/>
        <color theme="1"/>
        <rFont val="Calibri"/>
        <family val="2"/>
        <scheme val="minor"/>
      </rPr>
      <t xml:space="preserve"> x B</t>
    </r>
    <r>
      <rPr>
        <vertAlign val="subscript"/>
        <sz val="12"/>
        <color theme="1"/>
        <rFont val="Calibri"/>
        <family val="2"/>
        <scheme val="minor"/>
      </rPr>
      <t>MW</t>
    </r>
    <r>
      <rPr>
        <sz val="12"/>
        <color theme="1"/>
        <rFont val="Calibri"/>
        <family val="2"/>
        <scheme val="minor"/>
      </rPr>
      <t xml:space="preserve"> x NPHR x EF)</t>
    </r>
    <r>
      <rPr>
        <vertAlign val="superscript"/>
        <sz val="12"/>
        <color theme="1"/>
        <rFont val="Calibri"/>
        <family val="2"/>
        <scheme val="minor"/>
      </rPr>
      <t xml:space="preserve">0.25 </t>
    </r>
    <r>
      <rPr>
        <sz val="12"/>
        <color theme="1"/>
        <rFont val="Calibri"/>
        <family val="2"/>
        <scheme val="minor"/>
      </rPr>
      <t>x RF</t>
    </r>
  </si>
  <si>
    <r>
      <t xml:space="preserve"> APHC = 69,000 x (B</t>
    </r>
    <r>
      <rPr>
        <vertAlign val="subscript"/>
        <sz val="12"/>
        <color theme="1"/>
        <rFont val="Calibri"/>
        <family val="2"/>
        <scheme val="minor"/>
      </rPr>
      <t>MW</t>
    </r>
    <r>
      <rPr>
        <sz val="12"/>
        <color theme="1"/>
        <rFont val="Calibri"/>
        <family val="2"/>
        <scheme val="minor"/>
      </rPr>
      <t xml:space="preserve"> x HRF x CoalF)</t>
    </r>
    <r>
      <rPr>
        <vertAlign val="superscript"/>
        <sz val="12"/>
        <color theme="1"/>
        <rFont val="Calibri"/>
        <family val="2"/>
        <scheme val="minor"/>
      </rPr>
      <t>0.78</t>
    </r>
    <r>
      <rPr>
        <sz val="12"/>
        <color theme="1"/>
        <rFont val="Calibri"/>
        <family val="2"/>
        <scheme val="minor"/>
      </rPr>
      <t xml:space="preserve"> x AHF x RF</t>
    </r>
  </si>
  <si>
    <r>
      <t>BPC = 460,000 x (B</t>
    </r>
    <r>
      <rPr>
        <vertAlign val="subscript"/>
        <sz val="12"/>
        <color theme="1"/>
        <rFont val="Calibri"/>
        <family val="2"/>
        <scheme val="minor"/>
      </rPr>
      <t xml:space="preserve">MW </t>
    </r>
    <r>
      <rPr>
        <sz val="12"/>
        <color theme="1"/>
        <rFont val="Calibri"/>
        <family val="2"/>
        <scheme val="minor"/>
      </rPr>
      <t>x HRFx CoalF)</t>
    </r>
    <r>
      <rPr>
        <vertAlign val="superscript"/>
        <sz val="12"/>
        <color theme="1"/>
        <rFont val="Calibri"/>
        <family val="2"/>
        <scheme val="minor"/>
      </rPr>
      <t>0.42</t>
    </r>
    <r>
      <rPr>
        <sz val="12"/>
        <color theme="1"/>
        <rFont val="Calibri"/>
        <family val="2"/>
        <scheme val="minor"/>
      </rPr>
      <t xml:space="preserve"> x ELEVF x RF</t>
    </r>
  </si>
  <si>
    <r>
      <t>TCI = 80,000 x (200/B</t>
    </r>
    <r>
      <rPr>
        <vertAlign val="subscript"/>
        <sz val="12"/>
        <color theme="1"/>
        <rFont val="Calibri"/>
        <family val="2"/>
        <scheme val="minor"/>
      </rPr>
      <t>MW</t>
    </r>
    <r>
      <rPr>
        <sz val="12"/>
        <color theme="1"/>
        <rFont val="Calibri"/>
        <family val="2"/>
        <scheme val="minor"/>
      </rPr>
      <t xml:space="preserve"> )</t>
    </r>
    <r>
      <rPr>
        <vertAlign val="superscript"/>
        <sz val="12"/>
        <color theme="1"/>
        <rFont val="Calibri"/>
        <family val="2"/>
        <scheme val="minor"/>
      </rPr>
      <t>0.35</t>
    </r>
    <r>
      <rPr>
        <sz val="12"/>
        <color theme="1"/>
        <rFont val="Calibri"/>
        <family val="2"/>
        <scheme val="minor"/>
      </rPr>
      <t xml:space="preserve"> x BMW x ELEVF x RF</t>
    </r>
  </si>
  <si>
    <r>
      <t>TCI = 60,670 x B</t>
    </r>
    <r>
      <rPr>
        <vertAlign val="subscript"/>
        <sz val="12"/>
        <color theme="1"/>
        <rFont val="Calibri"/>
        <family val="2"/>
        <scheme val="minor"/>
      </rPr>
      <t>MW</t>
    </r>
    <r>
      <rPr>
        <sz val="12"/>
        <color theme="1"/>
        <rFont val="Calibri"/>
        <family val="2"/>
        <scheme val="minor"/>
      </rPr>
      <t xml:space="preserve"> x ELEVF x RF</t>
    </r>
  </si>
  <si>
    <r>
      <t>SCR</t>
    </r>
    <r>
      <rPr>
        <vertAlign val="subscript"/>
        <sz val="12"/>
        <color theme="1"/>
        <rFont val="Calibri"/>
        <family val="2"/>
        <scheme val="minor"/>
      </rPr>
      <t>cost</t>
    </r>
    <r>
      <rPr>
        <sz val="12"/>
        <color theme="1"/>
        <rFont val="Calibri"/>
        <family val="2"/>
        <scheme val="minor"/>
      </rPr>
      <t xml:space="preserve"> = 270,000 x (NRF)</t>
    </r>
    <r>
      <rPr>
        <vertAlign val="superscript"/>
        <sz val="12"/>
        <color theme="1"/>
        <rFont val="Calibri"/>
        <family val="2"/>
        <scheme val="minor"/>
      </rPr>
      <t xml:space="preserve">0.2 </t>
    </r>
    <r>
      <rPr>
        <sz val="12"/>
        <color theme="1"/>
        <rFont val="Calibri"/>
        <family val="2"/>
        <scheme val="minor"/>
      </rPr>
      <t>x (0.1 x Q</t>
    </r>
    <r>
      <rPr>
        <vertAlign val="subscript"/>
        <sz val="12"/>
        <color theme="1"/>
        <rFont val="Calibri"/>
        <family val="2"/>
        <scheme val="minor"/>
      </rPr>
      <t>B</t>
    </r>
    <r>
      <rPr>
        <sz val="12"/>
        <color theme="1"/>
        <rFont val="Calibri"/>
        <family val="2"/>
        <scheme val="minor"/>
      </rPr>
      <t xml:space="preserve"> x CoalF)</t>
    </r>
    <r>
      <rPr>
        <vertAlign val="superscript"/>
        <sz val="12"/>
        <color theme="1"/>
        <rFont val="Calibri"/>
        <family val="2"/>
        <scheme val="minor"/>
      </rPr>
      <t>0.92</t>
    </r>
    <r>
      <rPr>
        <sz val="12"/>
        <color theme="1"/>
        <rFont val="Calibri"/>
        <family val="2"/>
        <scheme val="minor"/>
      </rPr>
      <t xml:space="preserve"> x ELEVF x RF</t>
    </r>
  </si>
  <si>
    <r>
      <t>RPC = 490,000 x (NOx</t>
    </r>
    <r>
      <rPr>
        <vertAlign val="subscript"/>
        <sz val="12"/>
        <color theme="1"/>
        <rFont val="Calibri"/>
        <family val="2"/>
        <scheme val="minor"/>
      </rPr>
      <t>in</t>
    </r>
    <r>
      <rPr>
        <sz val="12"/>
        <color theme="1"/>
        <rFont val="Calibri"/>
        <family val="2"/>
        <scheme val="minor"/>
      </rPr>
      <t xml:space="preserve"> x Q</t>
    </r>
    <r>
      <rPr>
        <vertAlign val="subscript"/>
        <sz val="12"/>
        <color theme="1"/>
        <rFont val="Calibri"/>
        <family val="2"/>
        <scheme val="minor"/>
      </rPr>
      <t>B</t>
    </r>
    <r>
      <rPr>
        <sz val="12"/>
        <color theme="1"/>
        <rFont val="Calibri"/>
        <family val="2"/>
        <scheme val="minor"/>
      </rPr>
      <t xml:space="preserve"> x EF)</t>
    </r>
    <r>
      <rPr>
        <vertAlign val="superscript"/>
        <sz val="12"/>
        <color theme="1"/>
        <rFont val="Calibri"/>
        <family val="2"/>
        <scheme val="minor"/>
      </rPr>
      <t>0.25</t>
    </r>
    <r>
      <rPr>
        <sz val="12"/>
        <color theme="1"/>
        <rFont val="Calibri"/>
        <family val="2"/>
        <scheme val="minor"/>
      </rPr>
      <t xml:space="preserve"> x RF</t>
    </r>
  </si>
  <si>
    <r>
      <t xml:space="preserve"> APHC = 69,000 x (0.1 x Q</t>
    </r>
    <r>
      <rPr>
        <vertAlign val="subscript"/>
        <sz val="12"/>
        <color theme="1"/>
        <rFont val="Calibri"/>
        <family val="2"/>
        <scheme val="minor"/>
      </rPr>
      <t>B</t>
    </r>
    <r>
      <rPr>
        <sz val="12"/>
        <color theme="1"/>
        <rFont val="Calibri"/>
        <family val="2"/>
        <scheme val="minor"/>
      </rPr>
      <t xml:space="preserve"> x CoalF)</t>
    </r>
    <r>
      <rPr>
        <vertAlign val="superscript"/>
        <sz val="12"/>
        <color theme="1"/>
        <rFont val="Calibri"/>
        <family val="2"/>
        <scheme val="minor"/>
      </rPr>
      <t>0.78</t>
    </r>
    <r>
      <rPr>
        <sz val="12"/>
        <color theme="1"/>
        <rFont val="Calibri"/>
        <family val="2"/>
        <scheme val="minor"/>
      </rPr>
      <t xml:space="preserve"> x AHF x RF</t>
    </r>
  </si>
  <si>
    <r>
      <t>BPC = 460,000 x (0.1 x Q</t>
    </r>
    <r>
      <rPr>
        <vertAlign val="subscript"/>
        <sz val="12"/>
        <color theme="1"/>
        <rFont val="Calibri"/>
        <family val="2"/>
        <scheme val="minor"/>
      </rPr>
      <t xml:space="preserve">B </t>
    </r>
    <r>
      <rPr>
        <sz val="12"/>
        <color theme="1"/>
        <rFont val="Calibri"/>
        <family val="2"/>
        <scheme val="minor"/>
      </rPr>
      <t>x CoalF)</t>
    </r>
    <r>
      <rPr>
        <vertAlign val="superscript"/>
        <sz val="12"/>
        <color theme="1"/>
        <rFont val="Calibri"/>
        <family val="2"/>
        <scheme val="minor"/>
      </rPr>
      <t>0.42</t>
    </r>
    <r>
      <rPr>
        <sz val="12"/>
        <color theme="1"/>
        <rFont val="Calibri"/>
        <family val="2"/>
        <scheme val="minor"/>
      </rPr>
      <t xml:space="preserve"> ELEVF x RF</t>
    </r>
  </si>
  <si>
    <r>
      <t>TCI = 7,270 x (2,200/Q</t>
    </r>
    <r>
      <rPr>
        <vertAlign val="subscript"/>
        <sz val="12"/>
        <color theme="1"/>
        <rFont val="Calibri"/>
        <family val="2"/>
        <scheme val="minor"/>
      </rPr>
      <t>B</t>
    </r>
    <r>
      <rPr>
        <sz val="12"/>
        <color theme="1"/>
        <rFont val="Calibri"/>
        <family val="2"/>
        <scheme val="minor"/>
      </rPr>
      <t xml:space="preserve"> )</t>
    </r>
    <r>
      <rPr>
        <vertAlign val="superscript"/>
        <sz val="12"/>
        <color theme="1"/>
        <rFont val="Calibri"/>
        <family val="2"/>
        <scheme val="minor"/>
      </rPr>
      <t>0.35</t>
    </r>
    <r>
      <rPr>
        <sz val="12"/>
        <color theme="1"/>
        <rFont val="Calibri"/>
        <family val="2"/>
        <scheme val="minor"/>
      </rPr>
      <t xml:space="preserve"> x Q</t>
    </r>
    <r>
      <rPr>
        <vertAlign val="subscript"/>
        <sz val="12"/>
        <color theme="1"/>
        <rFont val="Calibri"/>
        <family val="2"/>
        <scheme val="minor"/>
      </rPr>
      <t>B</t>
    </r>
    <r>
      <rPr>
        <sz val="12"/>
        <color theme="1"/>
        <rFont val="Calibri"/>
        <family val="2"/>
        <scheme val="minor"/>
      </rPr>
      <t xml:space="preserve"> x ELEVF x RF</t>
    </r>
  </si>
  <si>
    <r>
      <t>TCI = 9,760 x (1,640/Q</t>
    </r>
    <r>
      <rPr>
        <vertAlign val="subscript"/>
        <sz val="12"/>
        <color theme="1"/>
        <rFont val="Calibri"/>
        <family val="2"/>
        <scheme val="minor"/>
      </rPr>
      <t>B</t>
    </r>
    <r>
      <rPr>
        <sz val="12"/>
        <color theme="1"/>
        <rFont val="Calibri"/>
        <family val="2"/>
        <scheme val="minor"/>
      </rPr>
      <t xml:space="preserve"> )</t>
    </r>
    <r>
      <rPr>
        <vertAlign val="superscript"/>
        <sz val="12"/>
        <color theme="1"/>
        <rFont val="Calibri"/>
        <family val="2"/>
        <scheme val="minor"/>
      </rPr>
      <t>0.35</t>
    </r>
    <r>
      <rPr>
        <sz val="12"/>
        <color theme="1"/>
        <rFont val="Calibri"/>
        <family val="2"/>
        <scheme val="minor"/>
      </rPr>
      <t xml:space="preserve"> x Q</t>
    </r>
    <r>
      <rPr>
        <vertAlign val="subscript"/>
        <sz val="12"/>
        <color theme="1"/>
        <rFont val="Calibri"/>
        <family val="2"/>
        <scheme val="minor"/>
      </rPr>
      <t>B</t>
    </r>
    <r>
      <rPr>
        <sz val="12"/>
        <color theme="1"/>
        <rFont val="Calibri"/>
        <family val="2"/>
        <scheme val="minor"/>
      </rPr>
      <t xml:space="preserve"> x ELEVF x RF</t>
    </r>
  </si>
  <si>
    <r>
      <t>TCI = 5,275 x Q</t>
    </r>
    <r>
      <rPr>
        <vertAlign val="subscript"/>
        <sz val="12"/>
        <color theme="1"/>
        <rFont val="Calibri"/>
        <family val="2"/>
        <scheme val="minor"/>
      </rPr>
      <t>B</t>
    </r>
    <r>
      <rPr>
        <sz val="12"/>
        <color theme="1"/>
        <rFont val="Calibri"/>
        <family val="2"/>
        <scheme val="minor"/>
      </rPr>
      <t xml:space="preserve"> x ELEVF x RF</t>
    </r>
  </si>
  <si>
    <r>
      <t>TCI = 7,082 x Q</t>
    </r>
    <r>
      <rPr>
        <vertAlign val="subscript"/>
        <sz val="12"/>
        <color theme="1"/>
        <rFont val="Calibri"/>
        <family val="2"/>
        <scheme val="minor"/>
      </rPr>
      <t>B</t>
    </r>
    <r>
      <rPr>
        <sz val="12"/>
        <color theme="1"/>
        <rFont val="Calibri"/>
        <family val="2"/>
        <scheme val="minor"/>
      </rPr>
      <t xml:space="preserve"> x ELEVF x RF</t>
    </r>
  </si>
  <si>
    <r>
      <rPr>
        <b/>
        <u/>
        <sz val="12"/>
        <color theme="8" tint="-0.499984740745262"/>
        <rFont val="Calibri"/>
        <family val="2"/>
        <scheme val="minor"/>
      </rPr>
      <t>Step 2</t>
    </r>
    <r>
      <rPr>
        <b/>
        <sz val="12"/>
        <color theme="8" tint="-0.499984740745262"/>
        <rFont val="Calibri"/>
        <family val="2"/>
        <scheme val="minor"/>
      </rPr>
      <t xml:space="preserve">: </t>
    </r>
    <r>
      <rPr>
        <sz val="12"/>
        <color theme="8" tint="-0.499984740745262"/>
        <rFont val="Calibri"/>
        <family val="2"/>
        <scheme val="minor"/>
      </rPr>
      <t xml:space="preserve"> Select the type of combustion unit (utility or industrial) using the pull down menu. Indicate whether the SCR is for new construction or retofit of an existing boiler. If the SCR will be installed on an existing boiler, enter a retrofit factor between 0.8 and 1.5. Use 1 for retrofits with an average level of difficulty. For the more difficult retrofits, you may use a retrofit factor greater than 1; however, you must document why the value used is appropriate.</t>
    </r>
  </si>
  <si>
    <r>
      <t>Base case fuel gas volumetric flow rate factor (Q</t>
    </r>
    <r>
      <rPr>
        <vertAlign val="subscript"/>
        <sz val="11"/>
        <color theme="1"/>
        <rFont val="Calibri"/>
        <family val="2"/>
        <scheme val="minor"/>
      </rPr>
      <t>fuel</t>
    </r>
    <r>
      <rPr>
        <sz val="11"/>
        <color theme="1"/>
        <rFont val="Calibri"/>
        <family val="2"/>
        <scheme val="minor"/>
      </rPr>
      <t>)</t>
    </r>
  </si>
  <si>
    <t xml:space="preserve">Note: The table below is pre-populated with default values for HHV and  %S. Please enter the actual  values for these parameters in the table below. If the actual value for any parameter is not known, you may use the default values provided.   </t>
  </si>
  <si>
    <r>
      <t xml:space="preserve">For coal-fired boilers, you may use either Method 1 or Method 2 to calculate the catalyst replacement cost.  The equations for both methods are shown on rows 85 and 86 on the </t>
    </r>
    <r>
      <rPr>
        <b/>
        <i/>
        <sz val="12"/>
        <rFont val="Calibri"/>
        <family val="2"/>
        <scheme val="minor"/>
      </rPr>
      <t>Cost Estimate</t>
    </r>
    <r>
      <rPr>
        <sz val="12"/>
        <rFont val="Calibri"/>
        <family val="2"/>
        <scheme val="minor"/>
      </rPr>
      <t xml:space="preserve"> tab. Please select your preferred method: </t>
    </r>
  </si>
  <si>
    <t>kW</t>
  </si>
  <si>
    <r>
      <t>The methodology used in this spreadsheet is based on the U.S. EPA Clean Air Markets Division (CAMD)'s Integrated Planning Model (IPM) (version 5.13). The size and costs of the SCR are based primarily on five parameters: the boiler size or heat input, the type of fuel burned, the required level of NOx reduction, reagent consumption rate, and catalyst costs. The equations for utility boilers are identical to those used in the IPM. However, the equations for industrial boilers were developed based on the IPM equations for utility boilers. This approach provides study-level estimates (</t>
    </r>
    <r>
      <rPr>
        <sz val="12"/>
        <color theme="8" tint="-0.499984740745262"/>
        <rFont val="Calibri"/>
        <family val="2"/>
      </rPr>
      <t>±</t>
    </r>
    <r>
      <rPr>
        <sz val="12"/>
        <color theme="8" tint="-0.499984740745262"/>
        <rFont val="Calibri"/>
        <family val="2"/>
        <scheme val="minor"/>
      </rPr>
      <t xml:space="preserve">30%) of SCR capital and annual costs. Default data in the spreadsheet is taken from the SCR Control Cost Manual and other sources such as the U.S. Energy Information Administration (EIA).  The actual costs may vary from those calculated here due to site-specific conditions. Selection of the most cost-effective control option should be based on a detailed engineering study and cost quotations from system suppliers.  For additional information regarding the IPM, see the EPA Clean Air Markets webpage at http://www.epa.gov/airmarkets/power-sector-modeling.  The Agency wishes to note that all spreadsheet data inputs other than default data are merely available to show an example calculation.  </t>
    </r>
  </si>
  <si>
    <t>The calculation methodologies used in this spreadsheet are those presented in the U.S. EPA's Air Pollution Control Cost Manual.  This spreadsheet is intended to be used in combination with the SCR chapter and cost estimation methodology in the Control Cost Manual. For a detailed description of the SCR control technology and the cost methodologies, see Section 4, Chapter 2 of the Air Pollution Control Cost Manual (as updated in 2016).  A copy of the Control Cost Manual is available on the U.S. EPA's "Technology Transfer Network" website at: http://www3.epa.gov/ttn/catc/products.html#cccinfo.</t>
  </si>
  <si>
    <r>
      <rPr>
        <b/>
        <u/>
        <sz val="12"/>
        <color theme="8" tint="-0.499984740745262"/>
        <rFont val="Calibri"/>
        <family val="2"/>
        <scheme val="minor"/>
      </rPr>
      <t>Step 4</t>
    </r>
    <r>
      <rPr>
        <b/>
        <sz val="12"/>
        <color theme="8" tint="-0.499984740745262"/>
        <rFont val="Calibri"/>
        <family val="2"/>
        <scheme val="minor"/>
      </rPr>
      <t>:</t>
    </r>
    <r>
      <rPr>
        <sz val="12"/>
        <color theme="8" tint="-0.499984740745262"/>
        <rFont val="Calibri"/>
        <family val="2"/>
        <scheme val="minor"/>
      </rPr>
      <t xml:space="preserve"> Complete all of the cells highlighted in yellow. If you do not know the catalyst volume (Vol</t>
    </r>
    <r>
      <rPr>
        <vertAlign val="subscript"/>
        <sz val="12"/>
        <color theme="8" tint="-0.499984740745262"/>
        <rFont val="Calibri"/>
        <family val="2"/>
        <scheme val="minor"/>
      </rPr>
      <t>catalyst</t>
    </r>
    <r>
      <rPr>
        <sz val="12"/>
        <color theme="8" tint="-0.499984740745262"/>
        <rFont val="Calibri"/>
        <family val="2"/>
        <scheme val="minor"/>
      </rPr>
      <t>) or flue gas flow rate (Q</t>
    </r>
    <r>
      <rPr>
        <vertAlign val="subscript"/>
        <sz val="12"/>
        <color theme="8" tint="-0.499984740745262"/>
        <rFont val="Calibri"/>
        <family val="2"/>
        <scheme val="minor"/>
      </rPr>
      <t>flue gas</t>
    </r>
    <r>
      <rPr>
        <sz val="12"/>
        <color theme="8" tint="-0.499984740745262"/>
        <rFont val="Calibri"/>
        <family val="2"/>
        <scheme val="minor"/>
      </rPr>
      <t xml:space="preserve">), please enter "UNK" and these values will be calculated for you. As noted in step 1 above, some of the highlighted cells are pre-populated with default values based on 2014 data. Users should document the source of all values entered in accordance with what is recommended in the Control Cost Manual, and the use of actual values other than the default values in this spreadsheet, if appropriately documented, is acceptable. You may also adjust the maintenance and administrative charges cost factors (cells highlighted in blue) from their default values of 0.005 and 0.03, respectively. The default values for these two factors were developed for the CAMD Integrated Planning Model (IPM). If you elect to adjust these factors, you must document why the alternative values used are appropriate.   </t>
    </r>
  </si>
  <si>
    <r>
      <t>Density of reagent as stored (</t>
    </r>
    <r>
      <rPr>
        <sz val="11"/>
        <rFont val="Calibri"/>
        <family val="2"/>
      </rPr>
      <t>ρ</t>
    </r>
    <r>
      <rPr>
        <vertAlign val="subscript"/>
        <sz val="11"/>
        <rFont val="Calibri"/>
        <family val="2"/>
      </rPr>
      <t>stored</t>
    </r>
    <r>
      <rPr>
        <sz val="11"/>
        <rFont val="Calibri"/>
        <family val="2"/>
      </rPr>
      <t>)</t>
    </r>
  </si>
  <si>
    <r>
      <t xml:space="preserve">If you used your own site-specific values, please enter </t>
    </r>
    <r>
      <rPr>
        <b/>
        <sz val="11"/>
        <color theme="8" tint="-0.249977111117893"/>
        <rFont val="Calibri"/>
        <family val="2"/>
        <scheme val="minor"/>
      </rPr>
      <t xml:space="preserve">the value used and the reference  source . . . </t>
    </r>
  </si>
  <si>
    <t xml:space="preserve">Electricity Consumption (P) = </t>
  </si>
  <si>
    <t>1 for oil and natural gas; 1 for bituminous; 1.05 for sub-bituminous; 1.07 for lignite (weighted average is used for coal blends)</t>
  </si>
  <si>
    <t>(NOxin- NOxout)/NOxin =</t>
  </si>
  <si>
    <t>What is the estimated actual annual fuel consumption?</t>
  </si>
  <si>
    <t>lbs/year</t>
  </si>
  <si>
    <t>MMBtu/hr</t>
  </si>
  <si>
    <t>What is the rating at full load capacity (MMBtu/hr)?</t>
  </si>
  <si>
    <t>$0.210/kWh GVEA rates. http://www.gvea.com/rates/rates</t>
  </si>
  <si>
    <t xml:space="preserve">7,560 Btu/lb (Typical Gross As Received). Coal data sheet at http://www.usibelli.com/Coal_data.php </t>
  </si>
  <si>
    <t xml:space="preserve">0.20 percent (Typical Gross As Received). Coal data sheet at http://www.usibelli.com/Coal_data.php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</si>
</sst>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164" formatCode="&quot;$&quot;#,##0.00"/>
    <numFmt numFmtId="165" formatCode="0.0000"/>
    <numFmt numFmtId="166" formatCode="&quot;$&quot;#,##0"/>
    <numFmt numFmtId="167" formatCode="0.0"/>
    <numFmt numFmtId="168" formatCode="0.000"/>
    <numFmt numFmtId="169" formatCode="#,##0.0"/>
  </numFmts>
  <fonts count="61"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vertAlign val="subscript"/>
      <sz val="11"/>
      <color theme="1"/>
      <name val="Calibri"/>
      <family val="2"/>
      <scheme val="minor"/>
    </font>
    <font>
      <b/>
      <sz val="11"/>
      <color theme="8" tint="-0.249977111117893"/>
      <name val="Calibri"/>
      <family val="2"/>
      <scheme val="minor"/>
    </font>
    <font>
      <sz val="11"/>
      <color theme="8" tint="-0.249977111117893"/>
      <name val="Calibri"/>
      <family val="2"/>
      <scheme val="minor"/>
    </font>
    <font>
      <b/>
      <sz val="14"/>
      <color theme="0"/>
      <name val="Calibri"/>
      <family val="2"/>
      <scheme val="minor"/>
    </font>
    <font>
      <sz val="14"/>
      <color theme="1"/>
      <name val="Calibri"/>
      <family val="2"/>
      <scheme val="minor"/>
    </font>
    <font>
      <sz val="14"/>
      <color theme="0"/>
      <name val="Calibri"/>
      <family val="2"/>
      <scheme val="minor"/>
    </font>
    <font>
      <b/>
      <sz val="18"/>
      <color theme="0"/>
      <name val="Calibri"/>
      <family val="2"/>
      <scheme val="minor"/>
    </font>
    <font>
      <sz val="18"/>
      <color theme="1"/>
      <name val="Calibri"/>
      <family val="2"/>
      <scheme val="minor"/>
    </font>
    <font>
      <sz val="18"/>
      <color theme="0"/>
      <name val="Calibri"/>
      <family val="2"/>
      <scheme val="minor"/>
    </font>
    <font>
      <sz val="20"/>
      <color theme="1"/>
      <name val="Calibri"/>
      <family val="2"/>
      <scheme val="minor"/>
    </font>
    <font>
      <sz val="11"/>
      <color rgb="FFFF0000"/>
      <name val="Calibri"/>
      <family val="2"/>
      <scheme val="minor"/>
    </font>
    <font>
      <sz val="12"/>
      <color theme="1"/>
      <name val="Calibri"/>
      <family val="2"/>
      <scheme val="minor"/>
    </font>
    <font>
      <sz val="12"/>
      <color theme="0"/>
      <name val="Calibri"/>
      <family val="2"/>
      <scheme val="minor"/>
    </font>
    <font>
      <sz val="10"/>
      <color theme="1"/>
      <name val="Calibri"/>
      <family val="2"/>
      <scheme val="minor"/>
    </font>
    <font>
      <b/>
      <sz val="12"/>
      <color theme="1"/>
      <name val="Calibri"/>
      <family val="2"/>
      <scheme val="minor"/>
    </font>
    <font>
      <vertAlign val="subscript"/>
      <sz val="12"/>
      <color theme="1"/>
      <name val="Calibri"/>
      <family val="2"/>
      <scheme val="minor"/>
    </font>
    <font>
      <b/>
      <vertAlign val="subscript"/>
      <sz val="12"/>
      <color theme="1"/>
      <name val="Calibri"/>
      <family val="2"/>
      <scheme val="minor"/>
    </font>
    <font>
      <vertAlign val="superscript"/>
      <sz val="12"/>
      <color theme="1"/>
      <name val="Calibri"/>
      <family val="2"/>
      <scheme val="minor"/>
    </font>
    <font>
      <b/>
      <u/>
      <sz val="12"/>
      <color theme="1"/>
      <name val="Calibri"/>
      <family val="2"/>
      <scheme val="minor"/>
    </font>
    <font>
      <b/>
      <sz val="12"/>
      <color theme="8" tint="-0.249977111117893"/>
      <name val="Calibri"/>
      <family val="2"/>
      <scheme val="minor"/>
    </font>
    <font>
      <sz val="12"/>
      <color rgb="FFFF0000"/>
      <name val="Calibri"/>
      <family val="2"/>
      <scheme val="minor"/>
    </font>
    <font>
      <sz val="12"/>
      <color theme="8" tint="-0.249977111117893"/>
      <name val="Calibri"/>
      <family val="2"/>
      <scheme val="minor"/>
    </font>
    <font>
      <sz val="12"/>
      <color theme="8" tint="-0.499984740745262"/>
      <name val="Calibri"/>
      <family val="2"/>
      <scheme val="minor"/>
    </font>
    <font>
      <b/>
      <i/>
      <sz val="12"/>
      <color theme="8" tint="-0.499984740745262"/>
      <name val="Calibri"/>
      <family val="2"/>
      <scheme val="minor"/>
    </font>
    <font>
      <sz val="12"/>
      <color theme="8" tint="-0.499984740745262"/>
      <name val="Times New Roman"/>
      <family val="1"/>
    </font>
    <font>
      <sz val="11"/>
      <name val="Calibri"/>
      <family val="2"/>
      <scheme val="minor"/>
    </font>
    <font>
      <sz val="14"/>
      <name val="Calibri"/>
      <family val="2"/>
      <scheme val="minor"/>
    </font>
    <font>
      <sz val="16"/>
      <color rgb="FF000080"/>
      <name val="Calibri"/>
      <family val="2"/>
    </font>
    <font>
      <b/>
      <i/>
      <sz val="12"/>
      <color theme="8" tint="-0.249977111117893"/>
      <name val="Calibri"/>
      <family val="2"/>
      <scheme val="minor"/>
    </font>
    <font>
      <b/>
      <sz val="12"/>
      <color theme="8" tint="-0.499984740745262"/>
      <name val="Calibri"/>
      <family val="2"/>
      <scheme val="minor"/>
    </font>
    <font>
      <b/>
      <u/>
      <sz val="12"/>
      <color theme="8" tint="-0.499984740745262"/>
      <name val="Calibri"/>
      <family val="2"/>
      <scheme val="minor"/>
    </font>
    <font>
      <sz val="12"/>
      <name val="Calibri"/>
      <family val="2"/>
      <scheme val="minor"/>
    </font>
    <font>
      <b/>
      <sz val="12"/>
      <name val="Calibri"/>
      <family val="2"/>
      <scheme val="minor"/>
    </font>
    <font>
      <b/>
      <sz val="16"/>
      <color theme="0"/>
      <name val="Calibri"/>
      <family val="2"/>
      <scheme val="minor"/>
    </font>
    <font>
      <sz val="18"/>
      <name val="Calibri"/>
      <family val="2"/>
      <scheme val="minor"/>
    </font>
    <font>
      <sz val="12"/>
      <color theme="8" tint="-0.499984740745262"/>
      <name val="Calibri"/>
      <family val="2"/>
    </font>
    <font>
      <sz val="8"/>
      <color theme="1"/>
      <name val="Calibri"/>
      <family val="2"/>
      <scheme val="minor"/>
    </font>
    <font>
      <sz val="20"/>
      <name val="Calibri"/>
      <family val="2"/>
      <scheme val="minor"/>
    </font>
    <font>
      <sz val="11"/>
      <color rgb="FFC00000"/>
      <name val="Calibri"/>
      <family val="2"/>
      <scheme val="minor"/>
    </font>
    <font>
      <sz val="9"/>
      <color rgb="FFC00000"/>
      <name val="Calibri"/>
      <family val="2"/>
      <scheme val="minor"/>
    </font>
    <font>
      <sz val="20"/>
      <color rgb="FFFF0000"/>
      <name val="Calibri"/>
      <family val="2"/>
      <scheme val="minor"/>
    </font>
    <font>
      <sz val="14"/>
      <color rgb="FFFF0000"/>
      <name val="Calibri"/>
      <family val="2"/>
      <scheme val="minor"/>
    </font>
    <font>
      <sz val="9"/>
      <color rgb="FFFF0000"/>
      <name val="Calibri"/>
      <family val="2"/>
      <scheme val="minor"/>
    </font>
    <font>
      <vertAlign val="superscript"/>
      <sz val="11"/>
      <color theme="1"/>
      <name val="Calibri"/>
      <family val="2"/>
      <scheme val="minor"/>
    </font>
    <font>
      <u/>
      <sz val="11"/>
      <color theme="1"/>
      <name val="Calibri"/>
      <family val="2"/>
      <scheme val="minor"/>
    </font>
    <font>
      <sz val="11"/>
      <color rgb="FF000000"/>
      <name val="Calibri"/>
      <family val="2"/>
    </font>
    <font>
      <vertAlign val="subscript"/>
      <sz val="11"/>
      <name val="Calibri"/>
      <family val="2"/>
      <scheme val="minor"/>
    </font>
    <font>
      <vertAlign val="superscript"/>
      <sz val="11"/>
      <name val="Calibri"/>
      <family val="2"/>
      <scheme val="minor"/>
    </font>
    <font>
      <vertAlign val="subscript"/>
      <sz val="12"/>
      <name val="Calibri"/>
      <family val="2"/>
      <scheme val="minor"/>
    </font>
    <font>
      <vertAlign val="superscript"/>
      <sz val="12"/>
      <name val="Calibri"/>
      <family val="2"/>
      <scheme val="minor"/>
    </font>
    <font>
      <vertAlign val="subscript"/>
      <sz val="12"/>
      <color theme="8" tint="-0.499984740745262"/>
      <name val="Calibri"/>
      <family val="2"/>
      <scheme val="minor"/>
    </font>
    <font>
      <b/>
      <i/>
      <sz val="12"/>
      <name val="Calibri"/>
      <family val="2"/>
      <scheme val="minor"/>
    </font>
    <font>
      <sz val="8"/>
      <color rgb="FF000000"/>
      <name val="Segoe UI"/>
      <family val="2"/>
    </font>
    <font>
      <sz val="11"/>
      <name val="Calibri"/>
      <family val="2"/>
    </font>
    <font>
      <vertAlign val="subscript"/>
      <sz val="11"/>
      <name val="Calibri"/>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7" tint="0.79995117038483843"/>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499984740745262"/>
        <bgColor indexed="64"/>
      </patternFill>
    </fill>
    <fill>
      <patternFill patternType="solid">
        <fgColor theme="8"/>
        <bgColor indexed="64"/>
      </patternFill>
    </fill>
    <fill>
      <patternFill patternType="solid">
        <fgColor rgb="FF808080"/>
        <bgColor indexed="64"/>
      </patternFill>
    </fill>
    <fill>
      <patternFill patternType="solid">
        <fgColor theme="7" tint="0.59999389629810485"/>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6">
    <xf numFmtId="0" fontId="0" fillId="0" borderId="0" xfId="0"/>
    <xf numFmtId="0" fontId="1" fillId="0" borderId="0" xfId="0" applyFont="1"/>
    <xf numFmtId="0" fontId="0" fillId="0" borderId="4" xfId="0" applyBorder="1"/>
    <xf numFmtId="0" fontId="0" fillId="0" borderId="0" xfId="0" applyBorder="1"/>
    <xf numFmtId="0" fontId="0" fillId="0" borderId="12" xfId="0" applyBorder="1"/>
    <xf numFmtId="0" fontId="3" fillId="0" borderId="0" xfId="0" applyFont="1" applyFill="1"/>
    <xf numFmtId="0" fontId="0" fillId="0" borderId="0" xfId="0" applyFill="1" applyBorder="1"/>
    <xf numFmtId="0" fontId="0" fillId="0" borderId="13" xfId="0" applyFill="1" applyBorder="1"/>
    <xf numFmtId="0" fontId="0" fillId="0" borderId="14" xfId="0" applyFill="1" applyBorder="1"/>
    <xf numFmtId="0" fontId="0" fillId="0" borderId="0" xfId="0" applyFill="1"/>
    <xf numFmtId="0" fontId="5" fillId="0" borderId="0" xfId="0" applyFont="1" applyFill="1"/>
    <xf numFmtId="0" fontId="6" fillId="0" borderId="0" xfId="0" applyFont="1" applyFill="1"/>
    <xf numFmtId="0" fontId="8" fillId="0" borderId="0" xfId="0" applyFont="1"/>
    <xf numFmtId="0" fontId="11" fillId="0" borderId="0" xfId="0" applyFont="1"/>
    <xf numFmtId="0" fontId="13" fillId="0" borderId="0" xfId="0" applyFont="1"/>
    <xf numFmtId="0" fontId="0" fillId="4" borderId="0" xfId="0" applyFill="1" applyAlignment="1">
      <alignment horizontal="left" vertical="center"/>
    </xf>
    <xf numFmtId="0" fontId="15" fillId="0" borderId="0" xfId="0" applyFont="1"/>
    <xf numFmtId="0" fontId="15" fillId="0" borderId="2" xfId="0" applyFont="1" applyBorder="1"/>
    <xf numFmtId="0" fontId="15" fillId="0" borderId="4" xfId="0" applyFont="1" applyBorder="1"/>
    <xf numFmtId="0" fontId="15" fillId="0" borderId="8" xfId="0" applyFont="1" applyFill="1" applyBorder="1"/>
    <xf numFmtId="7" fontId="15" fillId="2" borderId="9" xfId="0" applyNumberFormat="1" applyFont="1" applyFill="1" applyBorder="1"/>
    <xf numFmtId="0" fontId="18" fillId="0" borderId="0" xfId="0" applyFont="1"/>
    <xf numFmtId="0" fontId="15" fillId="0" borderId="0" xfId="0" applyFont="1" applyFill="1" applyBorder="1"/>
    <xf numFmtId="0" fontId="22" fillId="0" borderId="0" xfId="0" applyFont="1"/>
    <xf numFmtId="0" fontId="15" fillId="0" borderId="0" xfId="0" applyFont="1" applyBorder="1"/>
    <xf numFmtId="0" fontId="15" fillId="0" borderId="12" xfId="0" applyFont="1" applyFill="1" applyBorder="1"/>
    <xf numFmtId="0" fontId="15" fillId="0" borderId="2" xfId="0" applyFont="1" applyBorder="1" applyAlignment="1">
      <alignment wrapText="1"/>
    </xf>
    <xf numFmtId="0" fontId="15" fillId="0" borderId="0" xfId="0" applyFont="1" applyAlignment="1">
      <alignment wrapText="1"/>
    </xf>
    <xf numFmtId="0" fontId="15" fillId="2" borderId="11" xfId="0" applyFont="1" applyFill="1" applyBorder="1"/>
    <xf numFmtId="0" fontId="15" fillId="2" borderId="7" xfId="0" applyFont="1" applyFill="1" applyBorder="1"/>
    <xf numFmtId="0" fontId="26" fillId="0" borderId="0" xfId="0" applyFont="1" applyAlignment="1">
      <alignment horizontal="left" vertical="top" wrapText="1"/>
    </xf>
    <xf numFmtId="0" fontId="28" fillId="0" borderId="0" xfId="0" applyFont="1" applyAlignment="1">
      <alignment horizontal="left" wrapText="1"/>
    </xf>
    <xf numFmtId="0" fontId="26" fillId="0" borderId="0" xfId="0" quotePrefix="1" applyFont="1" applyAlignment="1">
      <alignment horizontal="right" vertical="top" wrapText="1"/>
    </xf>
    <xf numFmtId="0" fontId="0" fillId="4" borderId="8" xfId="0" applyFill="1" applyBorder="1" applyProtection="1">
      <protection locked="0"/>
    </xf>
    <xf numFmtId="2" fontId="0" fillId="4" borderId="8" xfId="0" applyNumberFormat="1" applyFill="1" applyBorder="1" applyProtection="1">
      <protection locked="0"/>
    </xf>
    <xf numFmtId="0" fontId="29" fillId="0" borderId="0" xfId="0" applyFont="1"/>
    <xf numFmtId="0" fontId="0" fillId="8" borderId="0" xfId="0" applyFill="1" applyBorder="1" applyProtection="1">
      <protection locked="0"/>
    </xf>
    <xf numFmtId="0" fontId="30" fillId="0" borderId="0" xfId="0" applyFont="1"/>
    <xf numFmtId="0" fontId="0" fillId="9" borderId="1" xfId="0" applyFill="1" applyBorder="1" applyAlignment="1">
      <alignment horizontal="left"/>
    </xf>
    <xf numFmtId="0" fontId="26" fillId="0" borderId="0" xfId="0" applyFont="1" applyAlignment="1">
      <alignment horizontal="left" wrapText="1"/>
    </xf>
    <xf numFmtId="0" fontId="15" fillId="0" borderId="6" xfId="0" applyFont="1" applyBorder="1"/>
    <xf numFmtId="7" fontId="15" fillId="2" borderId="3" xfId="0" applyNumberFormat="1" applyFont="1" applyFill="1" applyBorder="1"/>
    <xf numFmtId="7" fontId="15" fillId="2" borderId="7" xfId="0" applyNumberFormat="1" applyFont="1" applyFill="1" applyBorder="1"/>
    <xf numFmtId="7" fontId="15" fillId="2" borderId="5" xfId="0" applyNumberFormat="1" applyFont="1" applyFill="1" applyBorder="1"/>
    <xf numFmtId="0" fontId="29" fillId="8" borderId="0" xfId="0" applyFont="1" applyFill="1"/>
    <xf numFmtId="0" fontId="9" fillId="8" borderId="0" xfId="0" applyFont="1" applyFill="1"/>
    <xf numFmtId="0" fontId="30" fillId="8" borderId="0" xfId="0" applyFont="1" applyFill="1"/>
    <xf numFmtId="0" fontId="13" fillId="8" borderId="0" xfId="0" applyFont="1" applyFill="1"/>
    <xf numFmtId="0" fontId="0" fillId="8" borderId="0" xfId="0" applyFont="1" applyFill="1"/>
    <xf numFmtId="0" fontId="8" fillId="8" borderId="0" xfId="0" applyFont="1" applyFill="1"/>
    <xf numFmtId="0" fontId="0" fillId="0" borderId="0" xfId="0" applyAlignment="1">
      <alignment vertical="center"/>
    </xf>
    <xf numFmtId="0" fontId="38" fillId="0" borderId="0" xfId="0" applyFont="1"/>
    <xf numFmtId="0" fontId="35" fillId="0" borderId="0" xfId="0" applyFont="1"/>
    <xf numFmtId="0" fontId="36" fillId="0" borderId="0" xfId="0" applyFont="1"/>
    <xf numFmtId="0" fontId="38" fillId="8" borderId="0" xfId="0" applyFont="1" applyFill="1"/>
    <xf numFmtId="0" fontId="35" fillId="8" borderId="0" xfId="0" applyFont="1" applyFill="1"/>
    <xf numFmtId="0" fontId="36" fillId="8" borderId="0" xfId="0" applyFont="1" applyFill="1"/>
    <xf numFmtId="49" fontId="0" fillId="0" borderId="0" xfId="0" applyNumberFormat="1" applyProtection="1">
      <protection locked="0" hidden="1"/>
    </xf>
    <xf numFmtId="1" fontId="15" fillId="2" borderId="1" xfId="0" applyNumberFormat="1" applyFont="1" applyFill="1" applyBorder="1" applyProtection="1">
      <protection hidden="1"/>
    </xf>
    <xf numFmtId="4" fontId="15" fillId="2" borderId="1" xfId="0" applyNumberFormat="1" applyFont="1" applyFill="1" applyBorder="1" applyAlignment="1" applyProtection="1">
      <alignment vertical="center"/>
      <protection hidden="1"/>
    </xf>
    <xf numFmtId="3" fontId="15" fillId="2" borderId="14" xfId="0" applyNumberFormat="1" applyFont="1" applyFill="1" applyBorder="1" applyProtection="1">
      <protection hidden="1"/>
    </xf>
    <xf numFmtId="3" fontId="15" fillId="2" borderId="1" xfId="0" applyNumberFormat="1" applyFont="1" applyFill="1" applyBorder="1" applyAlignment="1" applyProtection="1">
      <alignment vertical="center"/>
      <protection hidden="1"/>
    </xf>
    <xf numFmtId="0" fontId="15" fillId="2" borderId="10" xfId="0" applyFont="1" applyFill="1" applyBorder="1" applyProtection="1">
      <protection hidden="1"/>
    </xf>
    <xf numFmtId="2" fontId="15" fillId="2" borderId="0" xfId="0" applyNumberFormat="1" applyFont="1" applyFill="1" applyBorder="1" applyAlignment="1" applyProtection="1">
      <alignment vertical="center"/>
      <protection hidden="1"/>
    </xf>
    <xf numFmtId="0" fontId="7" fillId="8" borderId="0" xfId="0" applyFont="1" applyFill="1"/>
    <xf numFmtId="0" fontId="0" fillId="3" borderId="1" xfId="0" applyFill="1" applyBorder="1" applyProtection="1">
      <protection locked="0"/>
    </xf>
    <xf numFmtId="3" fontId="40" fillId="8" borderId="0" xfId="0" applyNumberFormat="1" applyFont="1" applyFill="1" applyBorder="1" applyAlignment="1" applyProtection="1">
      <alignment wrapText="1"/>
    </xf>
    <xf numFmtId="0" fontId="0" fillId="2" borderId="8" xfId="0" applyFill="1" applyBorder="1"/>
    <xf numFmtId="0" fontId="0" fillId="0" borderId="0" xfId="0" applyProtection="1">
      <protection hidden="1"/>
    </xf>
    <xf numFmtId="3" fontId="0" fillId="4" borderId="8" xfId="0" applyNumberFormat="1" applyFill="1" applyBorder="1" applyAlignment="1" applyProtection="1">
      <alignment vertical="center"/>
      <protection locked="0"/>
    </xf>
    <xf numFmtId="0" fontId="0" fillId="8" borderId="9" xfId="0" applyFill="1" applyBorder="1" applyAlignment="1" applyProtection="1">
      <alignment vertical="center"/>
      <protection locked="0" hidden="1"/>
    </xf>
    <xf numFmtId="0" fontId="0" fillId="6" borderId="8" xfId="0" applyFill="1" applyBorder="1" applyAlignment="1" applyProtection="1">
      <alignment vertical="center"/>
      <protection locked="0"/>
    </xf>
    <xf numFmtId="49" fontId="0" fillId="0" borderId="9" xfId="0" applyNumberFormat="1" applyBorder="1" applyAlignment="1" applyProtection="1">
      <alignment vertical="center"/>
      <protection locked="0" hidden="1"/>
    </xf>
    <xf numFmtId="0" fontId="0" fillId="0" borderId="9" xfId="0" applyBorder="1" applyAlignment="1" applyProtection="1">
      <alignment vertical="center"/>
      <protection locked="0" hidden="1"/>
    </xf>
    <xf numFmtId="4" fontId="15" fillId="2" borderId="1" xfId="0" applyNumberFormat="1" applyFont="1" applyFill="1" applyBorder="1" applyAlignment="1" applyProtection="1">
      <alignment horizontal="right" vertical="center"/>
      <protection hidden="1"/>
    </xf>
    <xf numFmtId="0" fontId="15" fillId="2" borderId="1" xfId="0" applyFont="1" applyFill="1" applyBorder="1" applyAlignment="1" applyProtection="1">
      <alignment vertical="center"/>
      <protection hidden="1"/>
    </xf>
    <xf numFmtId="2" fontId="15" fillId="2" borderId="1" xfId="0" applyNumberFormat="1" applyFont="1" applyFill="1" applyBorder="1" applyAlignment="1" applyProtection="1">
      <alignment vertical="center"/>
      <protection hidden="1"/>
    </xf>
    <xf numFmtId="1" fontId="15" fillId="2" borderId="1" xfId="0" applyNumberFormat="1" applyFont="1" applyFill="1" applyBorder="1" applyAlignment="1" applyProtection="1">
      <alignment vertical="center"/>
      <protection hidden="1"/>
    </xf>
    <xf numFmtId="0" fontId="0" fillId="8" borderId="4" xfId="0" applyFill="1" applyBorder="1"/>
    <xf numFmtId="0" fontId="0" fillId="0" borderId="12" xfId="0" applyNumberFormat="1" applyBorder="1"/>
    <xf numFmtId="0" fontId="42" fillId="0" borderId="0" xfId="0" applyFont="1"/>
    <xf numFmtId="0" fontId="5" fillId="7" borderId="1" xfId="0" applyFont="1" applyFill="1" applyBorder="1"/>
    <xf numFmtId="0" fontId="0" fillId="0" borderId="1" xfId="0" applyBorder="1" applyAlignment="1" applyProtection="1">
      <alignment vertical="top"/>
      <protection hidden="1"/>
    </xf>
    <xf numFmtId="0" fontId="0" fillId="0" borderId="1" xfId="0" applyBorder="1" applyAlignment="1" applyProtection="1">
      <alignment vertical="top" wrapText="1"/>
      <protection hidden="1"/>
    </xf>
    <xf numFmtId="0" fontId="41" fillId="8" borderId="0" xfId="0" applyFont="1" applyFill="1"/>
    <xf numFmtId="0" fontId="14" fillId="8" borderId="0" xfId="0" applyFont="1" applyFill="1" applyProtection="1">
      <protection hidden="1"/>
    </xf>
    <xf numFmtId="0" fontId="3" fillId="8" borderId="0" xfId="0" applyFont="1" applyFill="1" applyProtection="1">
      <protection hidden="1"/>
    </xf>
    <xf numFmtId="0" fontId="0" fillId="8" borderId="0" xfId="0" applyFill="1" applyProtection="1">
      <protection hidden="1"/>
    </xf>
    <xf numFmtId="0" fontId="0" fillId="0" borderId="0" xfId="0" applyAlignment="1" applyProtection="1">
      <alignment wrapText="1"/>
      <protection hidden="1"/>
    </xf>
    <xf numFmtId="0" fontId="23" fillId="0" borderId="0" xfId="0" applyFont="1" applyFill="1" applyAlignment="1" applyProtection="1">
      <alignment horizontal="left" wrapText="1"/>
      <protection hidden="1"/>
    </xf>
    <xf numFmtId="0" fontId="2" fillId="5" borderId="1" xfId="0" applyFont="1" applyFill="1" applyBorder="1" applyAlignment="1" applyProtection="1">
      <alignment horizontal="left" wrapText="1"/>
      <protection hidden="1"/>
    </xf>
    <xf numFmtId="0" fontId="5" fillId="0" borderId="0" xfId="0" applyFont="1" applyFill="1" applyAlignment="1" applyProtection="1">
      <alignment horizontal="left" wrapText="1"/>
      <protection hidden="1"/>
    </xf>
    <xf numFmtId="0" fontId="15" fillId="0" borderId="1" xfId="0" applyFont="1" applyBorder="1" applyAlignment="1" applyProtection="1">
      <alignment wrapText="1"/>
      <protection hidden="1"/>
    </xf>
    <xf numFmtId="0" fontId="15" fillId="0" borderId="0" xfId="0" applyFont="1" applyProtection="1">
      <protection hidden="1"/>
    </xf>
    <xf numFmtId="0" fontId="24" fillId="8" borderId="0" xfId="0" applyFont="1" applyFill="1" applyProtection="1">
      <protection hidden="1"/>
    </xf>
    <xf numFmtId="0" fontId="16" fillId="8" borderId="0" xfId="0" applyFont="1" applyFill="1" applyProtection="1">
      <protection hidden="1"/>
    </xf>
    <xf numFmtId="0" fontId="15" fillId="8" borderId="0" xfId="0" applyFont="1" applyFill="1" applyProtection="1">
      <protection hidden="1"/>
    </xf>
    <xf numFmtId="0" fontId="15" fillId="0" borderId="1" xfId="0" applyFont="1" applyBorder="1" applyAlignment="1" applyProtection="1">
      <alignment vertical="center" wrapText="1"/>
      <protection hidden="1"/>
    </xf>
    <xf numFmtId="0" fontId="15" fillId="0" borderId="15" xfId="0" applyFont="1" applyBorder="1" applyAlignment="1" applyProtection="1">
      <alignment vertical="center" wrapText="1"/>
      <protection hidden="1"/>
    </xf>
    <xf numFmtId="0" fontId="15" fillId="0" borderId="8" xfId="0" applyFont="1" applyBorder="1" applyAlignment="1" applyProtection="1">
      <alignment vertical="center" wrapText="1"/>
      <protection hidden="1"/>
    </xf>
    <xf numFmtId="0" fontId="15" fillId="0" borderId="0" xfId="0" applyFont="1" applyAlignment="1" applyProtection="1">
      <alignment wrapText="1"/>
      <protection hidden="1"/>
    </xf>
    <xf numFmtId="0" fontId="23" fillId="0" borderId="0" xfId="0" applyFont="1" applyAlignment="1" applyProtection="1">
      <alignment wrapText="1"/>
      <protection hidden="1"/>
    </xf>
    <xf numFmtId="2" fontId="15" fillId="0" borderId="0" xfId="0" applyNumberFormat="1" applyFont="1" applyProtection="1">
      <protection hidden="1"/>
    </xf>
    <xf numFmtId="0" fontId="15" fillId="2" borderId="0" xfId="0" applyFont="1" applyFill="1" applyBorder="1" applyProtection="1">
      <protection hidden="1"/>
    </xf>
    <xf numFmtId="0" fontId="15" fillId="2" borderId="0" xfId="0" applyFont="1" applyFill="1" applyProtection="1">
      <protection hidden="1"/>
    </xf>
    <xf numFmtId="0" fontId="15" fillId="0" borderId="0" xfId="0" applyFont="1" applyFill="1" applyBorder="1" applyProtection="1">
      <protection hidden="1"/>
    </xf>
    <xf numFmtId="0" fontId="15" fillId="0" borderId="0" xfId="0" applyFont="1" applyFill="1" applyProtection="1">
      <protection hidden="1"/>
    </xf>
    <xf numFmtId="0" fontId="2" fillId="5" borderId="15" xfId="0" applyFont="1" applyFill="1" applyBorder="1" applyAlignment="1" applyProtection="1">
      <alignment horizontal="left" wrapText="1"/>
      <protection hidden="1"/>
    </xf>
    <xf numFmtId="0" fontId="15" fillId="0" borderId="15" xfId="0" applyFont="1" applyBorder="1" applyAlignment="1" applyProtection="1">
      <alignment wrapText="1"/>
      <protection hidden="1"/>
    </xf>
    <xf numFmtId="0" fontId="15" fillId="0" borderId="7" xfId="0" applyFont="1" applyBorder="1" applyAlignment="1" applyProtection="1">
      <alignment wrapText="1"/>
      <protection hidden="1"/>
    </xf>
    <xf numFmtId="0" fontId="15" fillId="0" borderId="14" xfId="0" applyFont="1" applyBorder="1" applyAlignment="1" applyProtection="1">
      <alignment wrapText="1"/>
      <protection hidden="1"/>
    </xf>
    <xf numFmtId="0" fontId="15" fillId="0" borderId="9" xfId="0" applyFont="1" applyBorder="1" applyAlignment="1" applyProtection="1">
      <alignment wrapText="1"/>
      <protection hidden="1"/>
    </xf>
    <xf numFmtId="3" fontId="15" fillId="0" borderId="0" xfId="0" applyNumberFormat="1" applyFont="1" applyProtection="1">
      <protection hidden="1"/>
    </xf>
    <xf numFmtId="0" fontId="2" fillId="0" borderId="0" xfId="0" applyFont="1" applyFill="1" applyBorder="1" applyAlignment="1" applyProtection="1">
      <alignment horizontal="left" wrapText="1"/>
      <protection hidden="1"/>
    </xf>
    <xf numFmtId="0" fontId="23" fillId="0" borderId="15" xfId="0" applyFont="1" applyBorder="1" applyAlignment="1" applyProtection="1">
      <alignment wrapText="1"/>
      <protection hidden="1"/>
    </xf>
    <xf numFmtId="0" fontId="44" fillId="8" borderId="0" xfId="0" applyFont="1" applyFill="1"/>
    <xf numFmtId="0" fontId="14" fillId="0" borderId="0" xfId="0" applyFont="1"/>
    <xf numFmtId="0" fontId="14" fillId="0" borderId="0" xfId="0" applyFont="1" applyFill="1"/>
    <xf numFmtId="0" fontId="14" fillId="8" borderId="0" xfId="0" applyFont="1" applyFill="1"/>
    <xf numFmtId="0" fontId="45" fillId="8" borderId="0" xfId="0" applyFont="1" applyFill="1"/>
    <xf numFmtId="0" fontId="14" fillId="0" borderId="5" xfId="0" applyFont="1" applyBorder="1"/>
    <xf numFmtId="0" fontId="14" fillId="0" borderId="0" xfId="0" applyFont="1" applyFill="1" applyBorder="1"/>
    <xf numFmtId="0" fontId="14" fillId="0" borderId="0" xfId="0" applyFont="1" applyBorder="1"/>
    <xf numFmtId="0" fontId="46" fillId="0" borderId="5" xfId="0" applyFont="1" applyBorder="1" applyAlignment="1">
      <alignment vertical="top" wrapText="1"/>
    </xf>
    <xf numFmtId="0" fontId="14" fillId="0" borderId="11" xfId="0" applyFont="1" applyBorder="1"/>
    <xf numFmtId="0" fontId="14" fillId="0" borderId="7" xfId="0" applyFont="1" applyBorder="1"/>
    <xf numFmtId="0" fontId="24" fillId="8" borderId="0" xfId="0" applyFont="1" applyFill="1"/>
    <xf numFmtId="0" fontId="15" fillId="0" borderId="0" xfId="0" applyFont="1" applyBorder="1" applyProtection="1">
      <protection hidden="1"/>
    </xf>
    <xf numFmtId="0" fontId="15" fillId="0" borderId="0" xfId="0" applyFont="1" applyBorder="1" applyAlignment="1" applyProtection="1">
      <alignment wrapText="1"/>
      <protection hidden="1"/>
    </xf>
    <xf numFmtId="0" fontId="15" fillId="8" borderId="0" xfId="0" applyFont="1" applyFill="1" applyBorder="1" applyProtection="1">
      <protection hidden="1"/>
    </xf>
    <xf numFmtId="166" fontId="15" fillId="2" borderId="10" xfId="0" applyNumberFormat="1" applyFont="1" applyFill="1" applyBorder="1" applyProtection="1">
      <protection hidden="1"/>
    </xf>
    <xf numFmtId="166" fontId="15" fillId="2" borderId="0" xfId="0" applyNumberFormat="1" applyFont="1" applyFill="1" applyBorder="1" applyAlignment="1" applyProtection="1">
      <protection hidden="1"/>
    </xf>
    <xf numFmtId="166" fontId="15" fillId="2" borderId="11" xfId="0" applyNumberFormat="1" applyFont="1" applyFill="1" applyBorder="1" applyAlignment="1" applyProtection="1">
      <protection hidden="1"/>
    </xf>
    <xf numFmtId="166" fontId="15" fillId="2" borderId="12" xfId="0" applyNumberFormat="1" applyFont="1" applyFill="1" applyBorder="1" applyProtection="1">
      <protection hidden="1"/>
    </xf>
    <xf numFmtId="166" fontId="15" fillId="2" borderId="12" xfId="0" applyNumberFormat="1" applyFont="1" applyFill="1" applyBorder="1" applyAlignment="1" applyProtection="1">
      <protection hidden="1"/>
    </xf>
    <xf numFmtId="166" fontId="15" fillId="2" borderId="11" xfId="0" applyNumberFormat="1" applyFont="1" applyFill="1" applyBorder="1" applyProtection="1">
      <protection hidden="1"/>
    </xf>
    <xf numFmtId="166" fontId="15" fillId="2" borderId="0" xfId="0" applyNumberFormat="1" applyFont="1" applyFill="1" applyBorder="1" applyProtection="1">
      <protection hidden="1"/>
    </xf>
    <xf numFmtId="0" fontId="15" fillId="2" borderId="11" xfId="0" applyFont="1" applyFill="1" applyBorder="1" applyAlignment="1" applyProtection="1">
      <alignment vertical="center"/>
      <protection hidden="1"/>
    </xf>
    <xf numFmtId="0" fontId="15" fillId="2" borderId="14" xfId="0" applyFont="1" applyFill="1" applyBorder="1" applyAlignment="1" applyProtection="1">
      <alignment vertical="center"/>
      <protection hidden="1"/>
    </xf>
    <xf numFmtId="0" fontId="15" fillId="2" borderId="13" xfId="0" applyFont="1" applyFill="1" applyBorder="1" applyAlignment="1" applyProtection="1">
      <alignment vertical="center"/>
      <protection hidden="1"/>
    </xf>
    <xf numFmtId="0" fontId="15" fillId="2" borderId="15" xfId="0" applyFont="1" applyFill="1" applyBorder="1" applyProtection="1">
      <protection hidden="1"/>
    </xf>
    <xf numFmtId="0" fontId="15" fillId="0" borderId="1" xfId="0" quotePrefix="1" applyFont="1" applyBorder="1" applyAlignment="1" applyProtection="1">
      <alignment vertical="center" wrapText="1"/>
      <protection hidden="1"/>
    </xf>
    <xf numFmtId="167" fontId="15" fillId="2" borderId="9" xfId="0" applyNumberFormat="1" applyFont="1" applyFill="1" applyBorder="1" applyAlignment="1" applyProtection="1">
      <alignment vertical="center" wrapText="1"/>
      <protection hidden="1"/>
    </xf>
    <xf numFmtId="0" fontId="0" fillId="4" borderId="8" xfId="0" applyFill="1" applyBorder="1" applyAlignment="1" applyProtection="1">
      <alignment vertical="center"/>
      <protection locked="0"/>
    </xf>
    <xf numFmtId="0" fontId="0" fillId="0" borderId="9" xfId="0" applyBorder="1" applyAlignment="1">
      <alignment vertical="center"/>
    </xf>
    <xf numFmtId="0" fontId="15" fillId="0" borderId="0" xfId="0" applyFont="1" applyBorder="1" applyAlignment="1" applyProtection="1">
      <alignment vertical="center" wrapText="1"/>
      <protection hidden="1"/>
    </xf>
    <xf numFmtId="165" fontId="15" fillId="2" borderId="3" xfId="0" applyNumberFormat="1" applyFont="1" applyFill="1" applyBorder="1" applyAlignment="1" applyProtection="1">
      <protection hidden="1"/>
    </xf>
    <xf numFmtId="0" fontId="15" fillId="2" borderId="7" xfId="0" applyFont="1" applyFill="1" applyBorder="1" applyAlignment="1" applyProtection="1">
      <protection hidden="1"/>
    </xf>
    <xf numFmtId="0" fontId="0" fillId="0" borderId="0" xfId="0" applyAlignment="1" applyProtection="1">
      <alignment vertical="center" wrapText="1"/>
      <protection locked="0"/>
    </xf>
    <xf numFmtId="0" fontId="14" fillId="0" borderId="5" xfId="0" applyFont="1" applyFill="1" applyBorder="1"/>
    <xf numFmtId="0" fontId="0" fillId="0" borderId="4" xfId="0" applyFill="1" applyBorder="1"/>
    <xf numFmtId="0" fontId="0" fillId="0" borderId="0" xfId="0" applyFill="1" applyBorder="1" applyAlignment="1">
      <alignment horizontal="left"/>
    </xf>
    <xf numFmtId="0" fontId="0" fillId="2" borderId="1" xfId="0" applyFill="1" applyBorder="1"/>
    <xf numFmtId="0" fontId="0" fillId="0" borderId="1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4" xfId="0" applyFill="1" applyBorder="1" applyAlignment="1">
      <alignment horizontal="left"/>
    </xf>
    <xf numFmtId="0" fontId="0" fillId="2" borderId="10" xfId="0" applyFill="1" applyBorder="1"/>
    <xf numFmtId="0" fontId="0" fillId="2" borderId="0" xfId="0" applyFill="1" applyBorder="1" applyAlignment="1">
      <alignment horizontal="right" vertical="center"/>
    </xf>
    <xf numFmtId="0" fontId="0" fillId="2" borderId="11" xfId="0" applyFill="1" applyBorder="1"/>
    <xf numFmtId="0" fontId="0" fillId="0" borderId="0" xfId="0" applyBorder="1" applyAlignment="1"/>
    <xf numFmtId="2" fontId="0" fillId="6" borderId="6" xfId="0" applyNumberFormat="1" applyFill="1" applyBorder="1" applyProtection="1">
      <protection locked="0"/>
    </xf>
    <xf numFmtId="0" fontId="0" fillId="0" borderId="0" xfId="0" applyAlignment="1">
      <alignment wrapText="1"/>
    </xf>
    <xf numFmtId="0" fontId="46" fillId="0" borderId="0" xfId="0" applyFont="1" applyBorder="1" applyAlignment="1">
      <alignment vertical="top" wrapText="1"/>
    </xf>
    <xf numFmtId="0" fontId="5" fillId="7" borderId="1" xfId="0" applyFont="1" applyFill="1" applyBorder="1" applyAlignment="1">
      <alignment horizontal="center"/>
    </xf>
    <xf numFmtId="0" fontId="6" fillId="0" borderId="5" xfId="0" applyFont="1" applyFill="1" applyBorder="1" applyAlignment="1">
      <alignment horizontal="center" wrapText="1"/>
    </xf>
    <xf numFmtId="0" fontId="6" fillId="0" borderId="5" xfId="0" applyFont="1" applyFill="1" applyBorder="1"/>
    <xf numFmtId="0" fontId="5" fillId="0" borderId="0" xfId="0" applyFont="1" applyFill="1" applyBorder="1" applyAlignment="1">
      <alignment wrapText="1"/>
    </xf>
    <xf numFmtId="0" fontId="6" fillId="0" borderId="0" xfId="0" applyFont="1" applyFill="1" applyBorder="1" applyAlignment="1">
      <alignment vertical="top"/>
    </xf>
    <xf numFmtId="0" fontId="6" fillId="0" borderId="0" xfId="0" applyFont="1" applyFill="1" applyBorder="1" applyAlignment="1">
      <alignment vertical="top" wrapText="1"/>
    </xf>
    <xf numFmtId="0" fontId="5" fillId="7" borderId="1" xfId="0" applyFont="1" applyFill="1" applyBorder="1" applyAlignment="1">
      <alignment horizontal="left" vertical="top" wrapText="1"/>
    </xf>
    <xf numFmtId="0" fontId="6" fillId="7" borderId="1" xfId="0" applyFont="1" applyFill="1" applyBorder="1" applyAlignment="1">
      <alignment horizontal="left" vertical="top"/>
    </xf>
    <xf numFmtId="0" fontId="6" fillId="7" borderId="1" xfId="0" applyFont="1" applyFill="1" applyBorder="1" applyAlignment="1">
      <alignment horizontal="left" vertical="top" wrapText="1"/>
    </xf>
    <xf numFmtId="0" fontId="14" fillId="8" borderId="0" xfId="0" applyFont="1" applyFill="1" applyProtection="1">
      <protection locked="0"/>
    </xf>
    <xf numFmtId="0" fontId="14" fillId="8" borderId="0" xfId="0" applyFont="1" applyFill="1" applyProtection="1">
      <protection locked="0" hidden="1"/>
    </xf>
    <xf numFmtId="0" fontId="14" fillId="8" borderId="0" xfId="0" quotePrefix="1" applyFont="1" applyFill="1"/>
    <xf numFmtId="2" fontId="14" fillId="8" borderId="0" xfId="0" applyNumberFormat="1" applyFont="1" applyFill="1"/>
    <xf numFmtId="0" fontId="24" fillId="8" borderId="0" xfId="0" quotePrefix="1" applyFont="1" applyFill="1"/>
    <xf numFmtId="0" fontId="45" fillId="8" borderId="0" xfId="0" applyFont="1" applyFill="1" applyProtection="1">
      <protection locked="0"/>
    </xf>
    <xf numFmtId="0" fontId="5" fillId="12" borderId="0" xfId="0" applyFont="1" applyFill="1"/>
    <xf numFmtId="0" fontId="6" fillId="12" borderId="0" xfId="0" applyFont="1" applyFill="1"/>
    <xf numFmtId="0" fontId="14" fillId="12" borderId="0" xfId="0" applyFont="1" applyFill="1"/>
    <xf numFmtId="0" fontId="0" fillId="12" borderId="0" xfId="0" applyFill="1"/>
    <xf numFmtId="0" fontId="10" fillId="0" borderId="0" xfId="0" applyFont="1" applyFill="1" applyAlignment="1"/>
    <xf numFmtId="0" fontId="7" fillId="0" borderId="0" xfId="0" applyFont="1" applyFill="1" applyAlignment="1"/>
    <xf numFmtId="11" fontId="35" fillId="8" borderId="0" xfId="0" applyNumberFormat="1" applyFont="1" applyFill="1"/>
    <xf numFmtId="2" fontId="36" fillId="8" borderId="0" xfId="0" applyNumberFormat="1" applyFont="1" applyFill="1"/>
    <xf numFmtId="2" fontId="24" fillId="8" borderId="0" xfId="0" applyNumberFormat="1" applyFont="1" applyFill="1" applyProtection="1">
      <protection hidden="1"/>
    </xf>
    <xf numFmtId="0" fontId="24" fillId="0" borderId="0" xfId="0" applyFont="1" applyFill="1" applyBorder="1" applyAlignment="1" applyProtection="1">
      <alignment wrapText="1"/>
      <protection hidden="1"/>
    </xf>
    <xf numFmtId="3" fontId="15" fillId="2" borderId="11" xfId="0" applyNumberFormat="1" applyFont="1" applyFill="1" applyBorder="1" applyProtection="1">
      <protection hidden="1"/>
    </xf>
    <xf numFmtId="0" fontId="15" fillId="0" borderId="10" xfId="0" quotePrefix="1" applyFont="1" applyFill="1" applyBorder="1"/>
    <xf numFmtId="0" fontId="0" fillId="0" borderId="0" xfId="0" applyFill="1" applyBorder="1" applyAlignment="1" applyProtection="1">
      <alignment vertical="center"/>
      <protection locked="0"/>
    </xf>
    <xf numFmtId="0" fontId="15" fillId="0" borderId="15" xfId="0" applyFont="1" applyFill="1" applyBorder="1" applyAlignment="1" applyProtection="1">
      <alignment wrapText="1"/>
      <protection hidden="1"/>
    </xf>
    <xf numFmtId="0" fontId="15" fillId="0" borderId="14" xfId="0" applyFont="1" applyFill="1" applyBorder="1" applyAlignment="1" applyProtection="1">
      <alignment wrapText="1"/>
      <protection hidden="1"/>
    </xf>
    <xf numFmtId="0" fontId="15" fillId="0" borderId="14" xfId="0" applyFont="1" applyFill="1" applyBorder="1" applyAlignment="1" applyProtection="1">
      <alignment vertical="top" wrapText="1"/>
      <protection hidden="1"/>
    </xf>
    <xf numFmtId="0" fontId="15" fillId="0" borderId="1" xfId="0" applyFont="1" applyBorder="1" applyAlignment="1" applyProtection="1">
      <alignment horizontal="left" vertical="center" wrapText="1"/>
      <protection hidden="1"/>
    </xf>
    <xf numFmtId="1" fontId="15" fillId="2" borderId="8" xfId="0" applyNumberFormat="1" applyFont="1" applyFill="1" applyBorder="1" applyProtection="1">
      <protection hidden="1"/>
    </xf>
    <xf numFmtId="0" fontId="15" fillId="0" borderId="1" xfId="0" applyFont="1" applyFill="1" applyBorder="1" applyAlignment="1" applyProtection="1">
      <alignment wrapText="1"/>
      <protection hidden="1"/>
    </xf>
    <xf numFmtId="166" fontId="15" fillId="0" borderId="0" xfId="0" applyNumberFormat="1" applyFont="1" applyFill="1" applyBorder="1" applyProtection="1">
      <protection hidden="1"/>
    </xf>
    <xf numFmtId="0" fontId="15" fillId="0" borderId="10" xfId="0" applyFont="1" applyFill="1" applyBorder="1" applyAlignment="1">
      <alignment wrapText="1"/>
    </xf>
    <xf numFmtId="0" fontId="15" fillId="0" borderId="13" xfId="0" applyFont="1" applyFill="1" applyBorder="1" applyAlignment="1" applyProtection="1">
      <alignment vertical="center" wrapText="1"/>
      <protection hidden="1"/>
    </xf>
    <xf numFmtId="0" fontId="0" fillId="0" borderId="0" xfId="0" applyFont="1" applyBorder="1" applyAlignment="1" applyProtection="1">
      <alignment horizontal="left" vertical="top" wrapText="1"/>
      <protection hidden="1"/>
    </xf>
    <xf numFmtId="3" fontId="15"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lignment wrapText="1"/>
    </xf>
    <xf numFmtId="0" fontId="7" fillId="5" borderId="0" xfId="0" applyFont="1" applyFill="1" applyAlignment="1">
      <alignment horizontal="left"/>
    </xf>
    <xf numFmtId="0" fontId="0" fillId="2" borderId="0" xfId="0" applyFill="1" applyBorder="1" applyAlignment="1">
      <alignment horizontal="center" vertical="center"/>
    </xf>
    <xf numFmtId="0" fontId="0" fillId="0" borderId="0" xfId="0" applyFill="1" applyBorder="1" applyAlignment="1">
      <alignment horizontal="left" wrapText="1"/>
    </xf>
    <xf numFmtId="0" fontId="42" fillId="0" borderId="0" xfId="0" applyFont="1" applyBorder="1" applyAlignment="1">
      <alignment horizontal="left" wrapText="1"/>
    </xf>
    <xf numFmtId="0" fontId="15" fillId="0" borderId="15" xfId="0" applyFont="1" applyFill="1" applyBorder="1" applyAlignment="1" applyProtection="1">
      <alignment vertical="center" wrapText="1"/>
      <protection hidden="1"/>
    </xf>
    <xf numFmtId="0" fontId="23" fillId="0" borderId="0" xfId="0" applyFont="1" applyFill="1" applyAlignment="1" applyProtection="1">
      <alignment wrapText="1"/>
      <protection hidden="1"/>
    </xf>
    <xf numFmtId="0" fontId="29" fillId="0" borderId="1" xfId="0" applyFont="1" applyFill="1" applyBorder="1" applyAlignment="1" applyProtection="1">
      <alignment horizontal="left" wrapText="1"/>
      <protection hidden="1"/>
    </xf>
    <xf numFmtId="0" fontId="0" fillId="0" borderId="0" xfId="0" applyFill="1" applyAlignment="1">
      <alignment horizontal="left" vertical="center"/>
    </xf>
    <xf numFmtId="0" fontId="0" fillId="0" borderId="0" xfId="0" applyFill="1" applyBorder="1" applyAlignment="1"/>
    <xf numFmtId="0" fontId="6" fillId="0" borderId="0" xfId="0" applyFont="1" applyFill="1" applyBorder="1" applyAlignment="1" applyProtection="1">
      <alignment horizontal="center" wrapText="1"/>
      <protection locked="0"/>
    </xf>
    <xf numFmtId="0" fontId="6" fillId="0" borderId="0" xfId="0" applyFont="1" applyFill="1" applyBorder="1" applyProtection="1">
      <protection locked="0"/>
    </xf>
    <xf numFmtId="0" fontId="7" fillId="0" borderId="0" xfId="0" applyFont="1" applyFill="1" applyAlignment="1">
      <alignment horizontal="left"/>
    </xf>
    <xf numFmtId="0" fontId="9" fillId="0" borderId="0" xfId="0" applyFont="1" applyFill="1"/>
    <xf numFmtId="0" fontId="0" fillId="0" borderId="0" xfId="0" applyFill="1" applyAlignment="1">
      <alignment wrapText="1"/>
    </xf>
    <xf numFmtId="0" fontId="0" fillId="0" borderId="12" xfId="0" applyFill="1" applyBorder="1"/>
    <xf numFmtId="0" fontId="0" fillId="0" borderId="9" xfId="0" applyFill="1" applyBorder="1"/>
    <xf numFmtId="0" fontId="0" fillId="0" borderId="1" xfId="0" applyFill="1" applyBorder="1"/>
    <xf numFmtId="0" fontId="42" fillId="0" borderId="0" xfId="0" applyFont="1" applyFill="1" applyBorder="1" applyAlignment="1">
      <alignment horizontal="left" wrapText="1"/>
    </xf>
    <xf numFmtId="0" fontId="0" fillId="0" borderId="0" xfId="0" applyFill="1" applyBorder="1" applyAlignment="1">
      <alignment horizontal="left" vertical="center"/>
    </xf>
    <xf numFmtId="0" fontId="0" fillId="0" borderId="0" xfId="0" applyFill="1" applyAlignment="1">
      <alignment vertical="center"/>
    </xf>
    <xf numFmtId="0" fontId="14" fillId="0" borderId="3" xfId="0" applyFont="1" applyBorder="1"/>
    <xf numFmtId="0" fontId="14" fillId="0" borderId="9" xfId="0" applyFont="1" applyBorder="1"/>
    <xf numFmtId="0" fontId="0" fillId="4" borderId="8" xfId="0" applyFill="1" applyBorder="1" applyAlignment="1" applyProtection="1">
      <protection locked="0"/>
    </xf>
    <xf numFmtId="0" fontId="0" fillId="0" borderId="9" xfId="0" applyBorder="1" applyAlignment="1"/>
    <xf numFmtId="0" fontId="0" fillId="4" borderId="8" xfId="0" applyFill="1" applyBorder="1" applyAlignment="1" applyProtection="1">
      <alignment horizontal="right"/>
      <protection locked="0"/>
    </xf>
    <xf numFmtId="1" fontId="0" fillId="4" borderId="8" xfId="0" applyNumberFormat="1" applyFill="1" applyBorder="1" applyAlignment="1" applyProtection="1">
      <protection locked="0"/>
    </xf>
    <xf numFmtId="3" fontId="0" fillId="4" borderId="8" xfId="0" applyNumberFormat="1" applyFill="1" applyBorder="1" applyAlignment="1" applyProtection="1">
      <protection locked="0"/>
    </xf>
    <xf numFmtId="0" fontId="15" fillId="0" borderId="1" xfId="0" applyFont="1" applyFill="1" applyBorder="1" applyAlignment="1" applyProtection="1">
      <alignment vertical="center"/>
      <protection hidden="1"/>
    </xf>
    <xf numFmtId="0" fontId="29" fillId="0" borderId="0" xfId="0" applyFont="1" applyBorder="1" applyAlignment="1">
      <alignment horizontal="left" vertical="center"/>
    </xf>
    <xf numFmtId="0" fontId="0" fillId="0" borderId="0" xfId="0" applyFill="1" applyBorder="1" applyAlignment="1">
      <alignment vertical="center"/>
    </xf>
    <xf numFmtId="0" fontId="14" fillId="0" borderId="12" xfId="0" applyFont="1" applyBorder="1"/>
    <xf numFmtId="0" fontId="0" fillId="0" borderId="1" xfId="0" applyFill="1" applyBorder="1" applyAlignment="1">
      <alignment horizontal="left" vertical="center"/>
    </xf>
    <xf numFmtId="3" fontId="0" fillId="4" borderId="8" xfId="0" applyNumberFormat="1" applyFill="1" applyBorder="1" applyAlignment="1" applyProtection="1">
      <alignment horizontal="right"/>
      <protection locked="0"/>
    </xf>
    <xf numFmtId="0" fontId="29" fillId="0" borderId="1" xfId="0" applyFont="1" applyFill="1" applyBorder="1" applyAlignment="1" applyProtection="1">
      <alignment horizontal="left" vertical="center" wrapText="1"/>
      <protection hidden="1"/>
    </xf>
    <xf numFmtId="0" fontId="35" fillId="0" borderId="1" xfId="0" applyFont="1" applyFill="1" applyBorder="1" applyAlignment="1" applyProtection="1">
      <alignment wrapText="1"/>
      <protection hidden="1"/>
    </xf>
    <xf numFmtId="3" fontId="35" fillId="0" borderId="1" xfId="0" applyNumberFormat="1" applyFont="1" applyFill="1" applyBorder="1" applyAlignment="1" applyProtection="1">
      <alignment vertical="center"/>
      <protection hidden="1"/>
    </xf>
    <xf numFmtId="0" fontId="35" fillId="0" borderId="1" xfId="0" applyFont="1" applyFill="1" applyBorder="1" applyAlignment="1" applyProtection="1">
      <alignment vertical="center"/>
      <protection hidden="1"/>
    </xf>
    <xf numFmtId="0" fontId="35" fillId="0" borderId="1" xfId="0" applyFont="1" applyFill="1" applyBorder="1" applyAlignment="1" applyProtection="1">
      <alignment vertical="center" wrapText="1"/>
      <protection hidden="1"/>
    </xf>
    <xf numFmtId="0" fontId="35" fillId="0" borderId="0" xfId="0" applyFont="1" applyFill="1" applyBorder="1" applyAlignment="1" applyProtection="1">
      <alignment wrapText="1"/>
      <protection hidden="1"/>
    </xf>
    <xf numFmtId="3" fontId="35"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vertical="center"/>
      <protection hidden="1"/>
    </xf>
    <xf numFmtId="168" fontId="29" fillId="2" borderId="1" xfId="0" applyNumberFormat="1" applyFont="1" applyFill="1" applyBorder="1" applyAlignment="1" applyProtection="1">
      <alignment horizontal="right" wrapText="1"/>
      <protection hidden="1"/>
    </xf>
    <xf numFmtId="0" fontId="29" fillId="2" borderId="1" xfId="0" applyFont="1" applyFill="1" applyBorder="1" applyAlignment="1" applyProtection="1">
      <alignment horizontal="left" wrapText="1"/>
      <protection hidden="1"/>
    </xf>
    <xf numFmtId="4" fontId="29" fillId="2" borderId="1" xfId="0" applyNumberFormat="1" applyFont="1" applyFill="1" applyBorder="1" applyAlignment="1" applyProtection="1">
      <alignment horizontal="right" wrapText="1"/>
      <protection hidden="1"/>
    </xf>
    <xf numFmtId="0" fontId="0" fillId="2" borderId="9" xfId="0" applyFill="1" applyBorder="1" applyAlignment="1"/>
    <xf numFmtId="3" fontId="35" fillId="2" borderId="1" xfId="0" applyNumberFormat="1" applyFont="1" applyFill="1" applyBorder="1" applyAlignment="1" applyProtection="1">
      <alignment vertical="center"/>
      <protection hidden="1"/>
    </xf>
    <xf numFmtId="0" fontId="35" fillId="2" borderId="1" xfId="0" applyFont="1" applyFill="1" applyBorder="1" applyAlignment="1" applyProtection="1">
      <alignment vertical="center"/>
      <protection hidden="1"/>
    </xf>
    <xf numFmtId="0" fontId="0" fillId="2" borderId="0" xfId="0" applyFill="1" applyBorder="1" applyAlignment="1">
      <alignment horizontal="left" vertical="center"/>
    </xf>
    <xf numFmtId="0" fontId="14" fillId="0" borderId="12" xfId="0" applyFont="1" applyFill="1" applyBorder="1"/>
    <xf numFmtId="0" fontId="0" fillId="0" borderId="4" xfId="0" applyBorder="1" applyAlignment="1">
      <alignment vertical="top" wrapText="1"/>
    </xf>
    <xf numFmtId="0" fontId="0" fillId="0" borderId="0" xfId="0" applyFill="1" applyBorder="1" applyAlignment="1">
      <alignment horizontal="right"/>
    </xf>
    <xf numFmtId="0" fontId="29" fillId="0" borderId="10" xfId="0" applyFont="1" applyBorder="1" applyAlignment="1">
      <alignment vertical="center"/>
    </xf>
    <xf numFmtId="0" fontId="14" fillId="0" borderId="10" xfId="0" applyFont="1" applyBorder="1"/>
    <xf numFmtId="0" fontId="42" fillId="0" borderId="0" xfId="0" applyFont="1" applyBorder="1"/>
    <xf numFmtId="0" fontId="0" fillId="0" borderId="15" xfId="0" applyBorder="1" applyAlignment="1" applyProtection="1">
      <alignment vertical="top"/>
      <protection hidden="1"/>
    </xf>
    <xf numFmtId="0" fontId="0" fillId="0" borderId="1" xfId="0" applyFill="1" applyBorder="1" applyAlignment="1" applyProtection="1">
      <alignment vertical="top"/>
      <protection hidden="1"/>
    </xf>
    <xf numFmtId="0" fontId="48" fillId="2" borderId="2" xfId="0" applyFont="1" applyFill="1" applyBorder="1" applyAlignment="1">
      <alignment horizontal="left"/>
    </xf>
    <xf numFmtId="0" fontId="0" fillId="2" borderId="4" xfId="0" applyFill="1" applyBorder="1" applyAlignment="1">
      <alignment horizontal="left" vertical="center"/>
    </xf>
    <xf numFmtId="0" fontId="0" fillId="2" borderId="6" xfId="0" applyFill="1" applyBorder="1" applyAlignment="1">
      <alignment horizontal="left"/>
    </xf>
    <xf numFmtId="0" fontId="14" fillId="2" borderId="3" xfId="0" applyFont="1" applyFill="1" applyBorder="1"/>
    <xf numFmtId="0" fontId="14" fillId="2" borderId="5" xfId="0" applyFont="1" applyFill="1" applyBorder="1"/>
    <xf numFmtId="0" fontId="14" fillId="2" borderId="7" xfId="0" applyFont="1" applyFill="1" applyBorder="1"/>
    <xf numFmtId="0" fontId="15" fillId="0" borderId="8" xfId="0" applyFont="1" applyFill="1" applyBorder="1" applyAlignment="1" applyProtection="1">
      <alignment vertical="center" wrapText="1"/>
      <protection hidden="1"/>
    </xf>
    <xf numFmtId="0" fontId="15" fillId="0" borderId="1" xfId="0" applyFont="1" applyFill="1" applyBorder="1" applyAlignment="1" applyProtection="1">
      <protection hidden="1"/>
    </xf>
    <xf numFmtId="2" fontId="15" fillId="0" borderId="1" xfId="0" applyNumberFormat="1" applyFont="1" applyFill="1" applyBorder="1" applyAlignment="1" applyProtection="1">
      <alignment vertical="center" wrapText="1"/>
      <protection hidden="1"/>
    </xf>
    <xf numFmtId="0" fontId="24" fillId="0" borderId="0" xfId="0" applyFont="1" applyFill="1" applyProtection="1">
      <protection hidden="1"/>
    </xf>
    <xf numFmtId="0" fontId="16" fillId="0" borderId="0" xfId="0" applyFont="1" applyFill="1" applyProtection="1">
      <protection hidden="1"/>
    </xf>
    <xf numFmtId="0" fontId="42" fillId="0" borderId="0" xfId="0" applyFont="1" applyBorder="1" applyAlignment="1">
      <alignment wrapText="1"/>
    </xf>
    <xf numFmtId="0" fontId="42" fillId="0" borderId="0" xfId="0" applyFont="1" applyFill="1" applyBorder="1" applyAlignment="1">
      <alignment wrapText="1"/>
    </xf>
    <xf numFmtId="0" fontId="43" fillId="0" borderId="0" xfId="0" applyFont="1" applyAlignment="1">
      <alignment vertical="top"/>
    </xf>
    <xf numFmtId="0" fontId="46" fillId="0" borderId="0" xfId="0" applyFont="1" applyAlignment="1">
      <alignment vertical="top"/>
    </xf>
    <xf numFmtId="169" fontId="35" fillId="2" borderId="1" xfId="0" applyNumberFormat="1" applyFont="1" applyFill="1" applyBorder="1" applyAlignment="1" applyProtection="1">
      <alignment vertical="center"/>
      <protection hidden="1"/>
    </xf>
    <xf numFmtId="167" fontId="15" fillId="2" borderId="1" xfId="0" applyNumberFormat="1" applyFont="1" applyFill="1" applyBorder="1" applyAlignment="1" applyProtection="1">
      <alignment vertical="center"/>
      <protection hidden="1"/>
    </xf>
    <xf numFmtId="0" fontId="5" fillId="12" borderId="0" xfId="0" applyFont="1" applyFill="1" applyAlignment="1">
      <alignment horizontal="left"/>
    </xf>
    <xf numFmtId="0" fontId="15" fillId="0" borderId="1" xfId="0" applyFont="1" applyFill="1" applyBorder="1" applyAlignment="1" applyProtection="1">
      <alignment vertical="center" wrapText="1"/>
      <protection hidden="1"/>
    </xf>
    <xf numFmtId="2" fontId="15" fillId="2" borderId="10" xfId="0" applyNumberFormat="1" applyFont="1" applyFill="1" applyBorder="1" applyAlignment="1" applyProtection="1">
      <alignment vertical="center" wrapText="1"/>
      <protection hidden="1"/>
    </xf>
    <xf numFmtId="0" fontId="0" fillId="4" borderId="6" xfId="0" applyFill="1" applyBorder="1" applyAlignment="1" applyProtection="1">
      <alignment horizontal="right" vertical="center"/>
      <protection locked="0"/>
    </xf>
    <xf numFmtId="0" fontId="0" fillId="4" borderId="2"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1" xfId="0" applyBorder="1" applyAlignment="1" applyProtection="1">
      <alignment horizontal="center" vertical="top" wrapText="1"/>
      <protection locked="0"/>
    </xf>
    <xf numFmtId="2" fontId="0" fillId="0" borderId="1" xfId="0" applyNumberFormat="1" applyBorder="1" applyAlignment="1" applyProtection="1">
      <alignment horizontal="center" vertical="top" wrapText="1"/>
      <protection locked="0"/>
    </xf>
    <xf numFmtId="3" fontId="0" fillId="0" borderId="2" xfId="0" quotePrefix="1" applyNumberFormat="1" applyFill="1"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2" fontId="0" fillId="6" borderId="8" xfId="0" applyNumberFormat="1" applyFill="1" applyBorder="1" applyProtection="1">
      <protection locked="0"/>
    </xf>
    <xf numFmtId="168" fontId="0" fillId="4" borderId="8" xfId="0" applyNumberFormat="1" applyFill="1" applyBorder="1" applyAlignment="1" applyProtection="1">
      <protection locked="0"/>
    </xf>
    <xf numFmtId="0" fontId="43" fillId="0" borderId="0" xfId="0" applyFont="1" applyBorder="1" applyAlignment="1" applyProtection="1">
      <alignment vertical="top" wrapText="1"/>
      <protection hidden="1"/>
    </xf>
    <xf numFmtId="0" fontId="43" fillId="0" borderId="0" xfId="0" applyFont="1" applyFill="1" applyBorder="1" applyAlignment="1" applyProtection="1">
      <alignment vertical="top" wrapText="1"/>
      <protection hidden="1"/>
    </xf>
    <xf numFmtId="7" fontId="15" fillId="0" borderId="0" xfId="0" applyNumberFormat="1" applyFont="1" applyFill="1" applyBorder="1" applyProtection="1">
      <protection hidden="1"/>
    </xf>
    <xf numFmtId="0" fontId="35" fillId="8" borderId="0" xfId="0" applyFont="1" applyFill="1" applyProtection="1">
      <protection hidden="1"/>
    </xf>
    <xf numFmtId="0" fontId="35" fillId="0" borderId="0" xfId="0" applyFont="1" applyProtection="1">
      <protection hidden="1"/>
    </xf>
    <xf numFmtId="0" fontId="36" fillId="8" borderId="0" xfId="0" applyFont="1" applyFill="1" applyProtection="1">
      <protection hidden="1"/>
    </xf>
    <xf numFmtId="166" fontId="36" fillId="8" borderId="0" xfId="0" applyNumberFormat="1" applyFont="1" applyFill="1" applyProtection="1">
      <protection hidden="1"/>
    </xf>
    <xf numFmtId="0" fontId="36" fillId="0" borderId="0" xfId="0" applyFont="1" applyFill="1" applyProtection="1">
      <protection hidden="1"/>
    </xf>
    <xf numFmtId="0" fontId="36" fillId="0" borderId="0" xfId="0" applyFont="1" applyProtection="1">
      <protection hidden="1"/>
    </xf>
    <xf numFmtId="0" fontId="18" fillId="0" borderId="0" xfId="0" applyFont="1" applyProtection="1">
      <protection hidden="1"/>
    </xf>
    <xf numFmtId="166" fontId="36" fillId="0" borderId="0" xfId="0" applyNumberFormat="1" applyFont="1" applyFill="1" applyProtection="1">
      <protection hidden="1"/>
    </xf>
    <xf numFmtId="0" fontId="15" fillId="3" borderId="0" xfId="0" applyFont="1" applyFill="1" applyBorder="1" applyAlignment="1" applyProtection="1">
      <protection hidden="1"/>
    </xf>
    <xf numFmtId="166" fontId="35" fillId="0" borderId="0" xfId="0" applyNumberFormat="1" applyFont="1" applyFill="1" applyProtection="1">
      <protection hidden="1"/>
    </xf>
    <xf numFmtId="0" fontId="35" fillId="0" borderId="0" xfId="0" applyFont="1" applyFill="1" applyProtection="1">
      <protection hidden="1"/>
    </xf>
    <xf numFmtId="0" fontId="15" fillId="0" borderId="8" xfId="0" applyFont="1" applyFill="1" applyBorder="1" applyProtection="1">
      <protection hidden="1"/>
    </xf>
    <xf numFmtId="7" fontId="15" fillId="2" borderId="9" xfId="0" applyNumberFormat="1" applyFont="1" applyFill="1" applyBorder="1" applyProtection="1">
      <protection hidden="1"/>
    </xf>
    <xf numFmtId="166" fontId="36" fillId="0" borderId="10" xfId="0" applyNumberFormat="1" applyFont="1" applyFill="1" applyBorder="1" applyAlignment="1" applyProtection="1">
      <alignment horizontal="right"/>
      <protection hidden="1"/>
    </xf>
    <xf numFmtId="0" fontId="35" fillId="0" borderId="0" xfId="0" applyFont="1" applyFill="1" applyBorder="1" applyProtection="1">
      <protection hidden="1"/>
    </xf>
    <xf numFmtId="0" fontId="36" fillId="0" borderId="0" xfId="0" applyFont="1" applyFill="1" applyBorder="1" applyProtection="1">
      <protection hidden="1"/>
    </xf>
    <xf numFmtId="0" fontId="36" fillId="8" borderId="0" xfId="0" applyFont="1" applyFill="1" applyBorder="1" applyProtection="1">
      <protection hidden="1"/>
    </xf>
    <xf numFmtId="0" fontId="15" fillId="0" borderId="2" xfId="0" applyFont="1" applyBorder="1" applyProtection="1">
      <protection hidden="1"/>
    </xf>
    <xf numFmtId="7" fontId="15" fillId="2" borderId="3" xfId="0" applyNumberFormat="1" applyFont="1" applyFill="1" applyBorder="1" applyProtection="1">
      <protection hidden="1"/>
    </xf>
    <xf numFmtId="0" fontId="15" fillId="0" borderId="4" xfId="0" applyFont="1" applyBorder="1" applyProtection="1">
      <protection hidden="1"/>
    </xf>
    <xf numFmtId="7" fontId="15" fillId="2" borderId="5" xfId="0" applyNumberFormat="1" applyFont="1" applyFill="1" applyBorder="1" applyProtection="1">
      <protection hidden="1"/>
    </xf>
    <xf numFmtId="0" fontId="15" fillId="0" borderId="4" xfId="0" applyFont="1" applyFill="1" applyBorder="1" applyAlignment="1" applyProtection="1">
      <protection hidden="1"/>
    </xf>
    <xf numFmtId="0" fontId="15" fillId="0" borderId="6" xfId="0" applyFont="1" applyFill="1" applyBorder="1" applyAlignment="1" applyProtection="1">
      <protection hidden="1"/>
    </xf>
    <xf numFmtId="7" fontId="15" fillId="2" borderId="7" xfId="0" applyNumberFormat="1" applyFont="1" applyFill="1" applyBorder="1" applyProtection="1">
      <protection hidden="1"/>
    </xf>
    <xf numFmtId="0" fontId="29" fillId="8" borderId="0" xfId="0" applyFont="1" applyFill="1" applyProtection="1">
      <protection hidden="1"/>
    </xf>
    <xf numFmtId="0" fontId="29" fillId="0" borderId="0" xfId="0" applyFont="1" applyProtection="1">
      <protection hidden="1"/>
    </xf>
    <xf numFmtId="0" fontId="0" fillId="0" borderId="0" xfId="0" applyFill="1" applyProtection="1">
      <protection hidden="1"/>
    </xf>
    <xf numFmtId="7" fontId="0" fillId="0" borderId="0" xfId="0" applyNumberFormat="1" applyFill="1" applyProtection="1">
      <protection hidden="1"/>
    </xf>
    <xf numFmtId="164" fontId="36" fillId="8" borderId="0" xfId="0" applyNumberFormat="1" applyFont="1" applyFill="1" applyBorder="1" applyProtection="1">
      <protection hidden="1"/>
    </xf>
    <xf numFmtId="164" fontId="35" fillId="8" borderId="0" xfId="0" applyNumberFormat="1" applyFont="1" applyFill="1" applyProtection="1">
      <protection hidden="1"/>
    </xf>
    <xf numFmtId="4" fontId="36" fillId="8" borderId="11" xfId="0" applyNumberFormat="1" applyFont="1" applyFill="1" applyBorder="1" applyProtection="1">
      <protection hidden="1"/>
    </xf>
    <xf numFmtId="7" fontId="15" fillId="0" borderId="0" xfId="0" applyNumberFormat="1" applyFont="1" applyFill="1" applyProtection="1">
      <protection hidden="1"/>
    </xf>
    <xf numFmtId="0" fontId="15" fillId="0" borderId="8" xfId="0" applyFont="1" applyBorder="1" applyProtection="1">
      <protection hidden="1"/>
    </xf>
    <xf numFmtId="0" fontId="24" fillId="8" borderId="0" xfId="0" applyFont="1" applyFill="1" applyAlignment="1" applyProtection="1">
      <alignment horizontal="right"/>
      <protection hidden="1"/>
    </xf>
    <xf numFmtId="0" fontId="35" fillId="8" borderId="0" xfId="0" applyFont="1" applyFill="1" applyAlignment="1" applyProtection="1">
      <alignment horizontal="right"/>
      <protection hidden="1"/>
    </xf>
    <xf numFmtId="0" fontId="35" fillId="0" borderId="0" xfId="0" applyFont="1" applyFill="1" applyAlignment="1" applyProtection="1">
      <alignment horizontal="right"/>
      <protection hidden="1"/>
    </xf>
    <xf numFmtId="166" fontId="35" fillId="8" borderId="0" xfId="0" applyNumberFormat="1" applyFont="1" applyFill="1" applyProtection="1">
      <protection hidden="1"/>
    </xf>
    <xf numFmtId="166" fontId="36" fillId="8" borderId="11" xfId="0" applyNumberFormat="1" applyFont="1" applyFill="1" applyBorder="1" applyProtection="1">
      <protection hidden="1"/>
    </xf>
    <xf numFmtId="0" fontId="15" fillId="0" borderId="8" xfId="0" applyFont="1" applyFill="1" applyBorder="1" applyAlignment="1" applyProtection="1">
      <protection hidden="1"/>
    </xf>
    <xf numFmtId="0" fontId="17" fillId="0" borderId="0" xfId="0" applyFont="1" applyProtection="1">
      <protection hidden="1"/>
    </xf>
    <xf numFmtId="0" fontId="29" fillId="0" borderId="0" xfId="0" applyFont="1" applyFill="1" applyProtection="1">
      <protection hidden="1"/>
    </xf>
    <xf numFmtId="0" fontId="30" fillId="8" borderId="0" xfId="0" applyFont="1" applyFill="1" applyProtection="1">
      <protection hidden="1"/>
    </xf>
    <xf numFmtId="166" fontId="36" fillId="8" borderId="0" xfId="0" applyNumberFormat="1" applyFont="1" applyFill="1" applyBorder="1" applyProtection="1">
      <protection hidden="1"/>
    </xf>
    <xf numFmtId="166" fontId="30" fillId="8" borderId="0" xfId="0" applyNumberFormat="1" applyFont="1" applyFill="1" applyProtection="1">
      <protection hidden="1"/>
    </xf>
    <xf numFmtId="0" fontId="30" fillId="0" borderId="0" xfId="0" applyFont="1" applyProtection="1">
      <protection hidden="1"/>
    </xf>
    <xf numFmtId="0" fontId="8" fillId="0" borderId="0" xfId="0" applyFont="1" applyProtection="1">
      <protection hidden="1"/>
    </xf>
    <xf numFmtId="3" fontId="0" fillId="0" borderId="0" xfId="0" applyNumberFormat="1" applyProtection="1">
      <protection hidden="1"/>
    </xf>
    <xf numFmtId="166" fontId="15" fillId="2" borderId="0" xfId="0" applyNumberFormat="1" applyFont="1" applyFill="1" applyBorder="1" applyAlignment="1" applyProtection="1">
      <alignment vertical="center"/>
      <protection hidden="1"/>
    </xf>
    <xf numFmtId="7" fontId="15" fillId="2" borderId="5" xfId="0" applyNumberFormat="1" applyFont="1" applyFill="1" applyBorder="1" applyAlignment="1">
      <alignment vertical="center"/>
    </xf>
    <xf numFmtId="166" fontId="15" fillId="0" borderId="0" xfId="0" applyNumberFormat="1" applyFont="1" applyFill="1" applyBorder="1" applyAlignment="1" applyProtection="1">
      <alignment vertical="center"/>
      <protection hidden="1"/>
    </xf>
    <xf numFmtId="0" fontId="0" fillId="11" borderId="4" xfId="0" applyFill="1" applyBorder="1"/>
    <xf numFmtId="0" fontId="14" fillId="11" borderId="5" xfId="0" applyFont="1" applyFill="1" applyBorder="1"/>
    <xf numFmtId="7" fontId="15" fillId="0" borderId="5" xfId="0" applyNumberFormat="1" applyFont="1" applyFill="1" applyBorder="1"/>
    <xf numFmtId="0" fontId="8" fillId="0" borderId="0" xfId="0" applyFont="1" applyBorder="1" applyAlignment="1">
      <alignment vertical="center"/>
    </xf>
    <xf numFmtId="0" fontId="8" fillId="0" borderId="0" xfId="0" applyFont="1" applyFill="1" applyBorder="1"/>
    <xf numFmtId="0" fontId="8" fillId="0" borderId="5" xfId="0" applyFont="1" applyFill="1" applyBorder="1"/>
    <xf numFmtId="0" fontId="1" fillId="4" borderId="1" xfId="0" applyFont="1" applyFill="1" applyBorder="1" applyAlignment="1">
      <alignment horizontal="center" vertical="center"/>
    </xf>
    <xf numFmtId="0" fontId="14" fillId="8" borderId="0" xfId="0" applyFont="1" applyFill="1" applyBorder="1"/>
    <xf numFmtId="0" fontId="6" fillId="11" borderId="0" xfId="0" applyFont="1" applyFill="1" applyBorder="1" applyAlignment="1" applyProtection="1">
      <alignment horizontal="center" wrapText="1"/>
      <protection locked="0"/>
    </xf>
    <xf numFmtId="0" fontId="6" fillId="11" borderId="0" xfId="0" applyFont="1" applyFill="1" applyBorder="1" applyAlignment="1" applyProtection="1">
      <alignment horizontal="center"/>
      <protection locked="0"/>
    </xf>
    <xf numFmtId="0" fontId="6" fillId="11" borderId="0" xfId="0" applyFont="1" applyFill="1" applyBorder="1" applyProtection="1">
      <protection locked="0"/>
    </xf>
    <xf numFmtId="0" fontId="6" fillId="11" borderId="0" xfId="0" applyFont="1" applyFill="1" applyBorder="1" applyAlignment="1" applyProtection="1">
      <alignment vertical="top"/>
      <protection locked="0"/>
    </xf>
    <xf numFmtId="3" fontId="6" fillId="11" borderId="0" xfId="0" applyNumberFormat="1" applyFont="1" applyFill="1" applyBorder="1" applyProtection="1">
      <protection locked="0"/>
    </xf>
    <xf numFmtId="0" fontId="6" fillId="11" borderId="0" xfId="0" applyFont="1" applyFill="1" applyBorder="1" applyAlignment="1" applyProtection="1">
      <alignment vertical="center"/>
      <protection locked="0"/>
    </xf>
    <xf numFmtId="49" fontId="0" fillId="6" borderId="2" xfId="0" applyNumberFormat="1" applyFill="1" applyBorder="1" applyAlignment="1" applyProtection="1">
      <alignment vertical="center"/>
      <protection locked="0" hidden="1"/>
    </xf>
    <xf numFmtId="49" fontId="0" fillId="6" borderId="10" xfId="0" applyNumberFormat="1" applyFill="1" applyBorder="1" applyAlignment="1" applyProtection="1">
      <alignment vertical="center"/>
      <protection locked="0" hidden="1"/>
    </xf>
    <xf numFmtId="49" fontId="0" fillId="6" borderId="3" xfId="0" applyNumberFormat="1" applyFill="1" applyBorder="1" applyAlignment="1" applyProtection="1">
      <alignment horizontal="left" vertical="center"/>
      <protection locked="0" hidden="1"/>
    </xf>
    <xf numFmtId="4" fontId="0" fillId="6" borderId="0" xfId="0" applyNumberFormat="1" applyFont="1" applyFill="1" applyBorder="1" applyAlignment="1" applyProtection="1">
      <alignment vertical="top" wrapText="1"/>
      <protection locked="0"/>
    </xf>
    <xf numFmtId="0" fontId="0" fillId="13" borderId="1" xfId="0" applyFill="1" applyBorder="1" applyAlignment="1" applyProtection="1">
      <alignment horizontal="center" vertical="center"/>
      <protection locked="0"/>
    </xf>
    <xf numFmtId="0" fontId="14" fillId="6" borderId="7" xfId="0" applyFont="1" applyFill="1" applyBorder="1"/>
    <xf numFmtId="0" fontId="15" fillId="0" borderId="0" xfId="0" applyFont="1" applyFill="1" applyBorder="1" applyAlignment="1">
      <alignment horizontal="left" vertical="center"/>
    </xf>
    <xf numFmtId="7" fontId="15" fillId="0" borderId="5" xfId="0" applyNumberFormat="1" applyFont="1" applyFill="1" applyBorder="1" applyAlignment="1">
      <alignment vertical="center"/>
    </xf>
    <xf numFmtId="0" fontId="30" fillId="8" borderId="0" xfId="0" applyFont="1" applyFill="1" applyBorder="1"/>
    <xf numFmtId="0" fontId="30" fillId="0" borderId="0" xfId="0" applyFont="1" applyBorder="1"/>
    <xf numFmtId="0" fontId="8" fillId="0" borderId="0" xfId="0" applyFont="1" applyBorder="1"/>
    <xf numFmtId="0" fontId="15" fillId="0" borderId="0" xfId="0" applyFont="1" applyFill="1" applyBorder="1" applyAlignment="1">
      <alignment horizontal="left" vertical="center" wrapText="1"/>
    </xf>
    <xf numFmtId="0" fontId="15" fillId="0" borderId="12" xfId="0" applyFont="1" applyBorder="1" applyProtection="1">
      <protection hidden="1"/>
    </xf>
    <xf numFmtId="166" fontId="15" fillId="0" borderId="12" xfId="0" applyNumberFormat="1" applyFont="1" applyFill="1" applyBorder="1" applyAlignment="1" applyProtection="1">
      <protection hidden="1"/>
    </xf>
    <xf numFmtId="166" fontId="15" fillId="0" borderId="12" xfId="0" applyNumberFormat="1" applyFont="1" applyFill="1" applyBorder="1" applyProtection="1">
      <protection hidden="1"/>
    </xf>
    <xf numFmtId="0" fontId="15" fillId="0" borderId="10" xfId="0" applyFont="1" applyBorder="1"/>
    <xf numFmtId="0" fontId="15" fillId="0" borderId="11" xfId="0" applyFont="1" applyBorder="1"/>
    <xf numFmtId="0" fontId="18" fillId="0" borderId="12" xfId="0" applyFont="1" applyBorder="1"/>
    <xf numFmtId="0" fontId="15" fillId="0" borderId="0" xfId="0" applyFont="1" applyBorder="1" applyAlignment="1">
      <alignment vertical="center"/>
    </xf>
    <xf numFmtId="0" fontId="0" fillId="0" borderId="10" xfId="0" applyBorder="1"/>
    <xf numFmtId="0" fontId="0" fillId="0" borderId="11" xfId="0" applyBorder="1"/>
    <xf numFmtId="0" fontId="15" fillId="2" borderId="12" xfId="0" applyFont="1" applyFill="1" applyBorder="1"/>
    <xf numFmtId="0" fontId="24" fillId="0" borderId="0" xfId="0" applyFont="1" applyBorder="1" applyAlignment="1" applyProtection="1">
      <alignment vertical="top"/>
      <protection hidden="1"/>
    </xf>
    <xf numFmtId="3" fontId="35" fillId="8" borderId="0" xfId="0" applyNumberFormat="1" applyFont="1" applyFill="1"/>
    <xf numFmtId="0" fontId="15" fillId="0" borderId="4" xfId="0" applyFont="1" applyBorder="1" applyAlignment="1">
      <alignment vertical="center"/>
    </xf>
    <xf numFmtId="0" fontId="35" fillId="6" borderId="11" xfId="0" applyFont="1" applyFill="1" applyBorder="1" applyAlignment="1">
      <alignment vertical="top"/>
    </xf>
    <xf numFmtId="0" fontId="8" fillId="0" borderId="0" xfId="0" applyFont="1" applyProtection="1">
      <protection locked="0"/>
    </xf>
    <xf numFmtId="0" fontId="29" fillId="0" borderId="0" xfId="0" applyFont="1" applyAlignment="1">
      <alignment vertical="center"/>
    </xf>
    <xf numFmtId="0" fontId="35" fillId="0" borderId="13" xfId="0" applyFont="1" applyFill="1" applyBorder="1" applyAlignment="1" applyProtection="1">
      <alignment wrapText="1"/>
      <protection hidden="1"/>
    </xf>
    <xf numFmtId="0" fontId="35" fillId="0" borderId="1" xfId="0" applyFont="1" applyBorder="1" applyAlignment="1" applyProtection="1">
      <alignment vertical="center" wrapText="1"/>
      <protection hidden="1"/>
    </xf>
    <xf numFmtId="0" fontId="35" fillId="0" borderId="1" xfId="0" applyFont="1" applyBorder="1" applyAlignment="1" applyProtection="1">
      <alignment wrapText="1"/>
      <protection hidden="1"/>
    </xf>
    <xf numFmtId="0" fontId="0" fillId="4" borderId="8" xfId="0" applyFill="1" applyBorder="1" applyAlignment="1" applyProtection="1">
      <alignment horizontal="right" vertical="center"/>
      <protection locked="0"/>
    </xf>
    <xf numFmtId="168" fontId="0" fillId="6" borderId="8" xfId="0" applyNumberFormat="1" applyFill="1" applyBorder="1" applyProtection="1">
      <protection locked="0"/>
    </xf>
    <xf numFmtId="169" fontId="0" fillId="4" borderId="8" xfId="0" applyNumberFormat="1" applyFill="1" applyBorder="1" applyAlignment="1" applyProtection="1">
      <alignment horizontal="right"/>
      <protection locked="0"/>
    </xf>
    <xf numFmtId="0" fontId="2" fillId="5" borderId="2" xfId="0" applyFont="1" applyFill="1" applyBorder="1" applyAlignment="1" applyProtection="1">
      <alignment horizontal="left" wrapText="1"/>
      <protection hidden="1"/>
    </xf>
    <xf numFmtId="0" fontId="15" fillId="0" borderId="0" xfId="0" applyFont="1" applyFill="1" applyAlignment="1" applyProtection="1">
      <alignment horizontal="right"/>
      <protection hidden="1"/>
    </xf>
    <xf numFmtId="0" fontId="26" fillId="0" borderId="0" xfId="0" quotePrefix="1" applyFont="1" applyFill="1" applyAlignment="1">
      <alignment horizontal="left" vertical="top" wrapText="1"/>
    </xf>
    <xf numFmtId="0" fontId="26" fillId="0" borderId="0" xfId="0" applyFont="1" applyFill="1" applyAlignment="1">
      <alignment horizontal="left" vertical="top" wrapText="1"/>
    </xf>
    <xf numFmtId="0" fontId="26" fillId="7" borderId="4"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7" borderId="5" xfId="0" applyFont="1" applyFill="1" applyBorder="1" applyAlignment="1">
      <alignment horizontal="left" vertical="center" wrapText="1"/>
    </xf>
    <xf numFmtId="0" fontId="26" fillId="7" borderId="6" xfId="0" applyFont="1" applyFill="1" applyBorder="1" applyAlignment="1">
      <alignment horizontal="left" vertical="center" wrapText="1"/>
    </xf>
    <xf numFmtId="0" fontId="26" fillId="7" borderId="11" xfId="0" applyFont="1" applyFill="1" applyBorder="1" applyAlignment="1">
      <alignment horizontal="left" vertical="center" wrapText="1"/>
    </xf>
    <xf numFmtId="0" fontId="26" fillId="7" borderId="7" xfId="0" applyFont="1" applyFill="1" applyBorder="1" applyAlignment="1">
      <alignment horizontal="left" vertical="center" wrapText="1"/>
    </xf>
    <xf numFmtId="0" fontId="12" fillId="5" borderId="2" xfId="0" applyFont="1" applyFill="1" applyBorder="1" applyAlignment="1">
      <alignment horizontal="center"/>
    </xf>
    <xf numFmtId="0" fontId="12" fillId="5" borderId="10" xfId="0" applyFont="1" applyFill="1" applyBorder="1" applyAlignment="1">
      <alignment horizontal="center"/>
    </xf>
    <xf numFmtId="0" fontId="12" fillId="5" borderId="3" xfId="0" applyFont="1" applyFill="1" applyBorder="1" applyAlignment="1">
      <alignment horizontal="center"/>
    </xf>
    <xf numFmtId="0" fontId="12" fillId="5" borderId="4" xfId="0" applyFont="1" applyFill="1" applyBorder="1" applyAlignment="1">
      <alignment horizontal="center"/>
    </xf>
    <xf numFmtId="0" fontId="12" fillId="5" borderId="0" xfId="0" applyFont="1" applyFill="1" applyBorder="1" applyAlignment="1">
      <alignment horizontal="center"/>
    </xf>
    <xf numFmtId="0" fontId="12" fillId="5" borderId="5" xfId="0" applyFont="1" applyFill="1" applyBorder="1" applyAlignment="1">
      <alignment horizontal="center"/>
    </xf>
    <xf numFmtId="0" fontId="26" fillId="0" borderId="0" xfId="0" applyFont="1" applyFill="1" applyAlignment="1">
      <alignment horizontal="left" wrapText="1"/>
    </xf>
    <xf numFmtId="0" fontId="26" fillId="0" borderId="0" xfId="0" applyFont="1" applyAlignment="1">
      <alignment horizontal="left" vertical="top" wrapText="1"/>
    </xf>
    <xf numFmtId="0" fontId="25" fillId="2" borderId="4" xfId="0" applyFont="1" applyFill="1" applyBorder="1" applyAlignment="1">
      <alignment horizontal="center" wrapText="1"/>
    </xf>
    <xf numFmtId="0" fontId="25" fillId="2" borderId="0" xfId="0" applyFont="1" applyFill="1" applyBorder="1" applyAlignment="1">
      <alignment horizontal="center" wrapText="1"/>
    </xf>
    <xf numFmtId="0" fontId="25" fillId="2" borderId="5" xfId="0" applyFont="1" applyFill="1" applyBorder="1" applyAlignment="1">
      <alignment horizontal="center" wrapText="1"/>
    </xf>
    <xf numFmtId="0" fontId="25" fillId="2" borderId="4" xfId="0" applyFont="1" applyFill="1" applyBorder="1" applyAlignment="1">
      <alignment horizontal="center"/>
    </xf>
    <xf numFmtId="0" fontId="25" fillId="2" borderId="0" xfId="0" applyFont="1" applyFill="1" applyBorder="1" applyAlignment="1">
      <alignment horizontal="center"/>
    </xf>
    <xf numFmtId="0" fontId="25" fillId="2" borderId="5" xfId="0" applyFont="1" applyFill="1" applyBorder="1" applyAlignment="1">
      <alignment horizontal="center"/>
    </xf>
    <xf numFmtId="0" fontId="25" fillId="2" borderId="4" xfId="0" applyFont="1" applyFill="1" applyBorder="1" applyAlignment="1">
      <alignment horizontal="center" vertical="top" wrapText="1"/>
    </xf>
    <xf numFmtId="0" fontId="25" fillId="2" borderId="0" xfId="0" applyFont="1" applyFill="1" applyBorder="1" applyAlignment="1">
      <alignment horizontal="center" vertical="top" wrapText="1"/>
    </xf>
    <xf numFmtId="0" fontId="25" fillId="2" borderId="5" xfId="0" applyFont="1" applyFill="1" applyBorder="1" applyAlignment="1">
      <alignment horizontal="center" vertical="top" wrapText="1"/>
    </xf>
    <xf numFmtId="0" fontId="25" fillId="2" borderId="6" xfId="0" applyFont="1" applyFill="1" applyBorder="1" applyAlignment="1">
      <alignment horizontal="center" wrapText="1"/>
    </xf>
    <xf numFmtId="0" fontId="25" fillId="2" borderId="11" xfId="0" applyFont="1" applyFill="1" applyBorder="1" applyAlignment="1">
      <alignment horizontal="center" wrapText="1"/>
    </xf>
    <xf numFmtId="0" fontId="25" fillId="2" borderId="7" xfId="0" applyFont="1" applyFill="1" applyBorder="1" applyAlignment="1">
      <alignment horizontal="center" wrapText="1"/>
    </xf>
    <xf numFmtId="0" fontId="37" fillId="5" borderId="1" xfId="0" applyFont="1" applyFill="1" applyBorder="1" applyAlignment="1">
      <alignment horizontal="center" vertical="top" wrapText="1"/>
    </xf>
    <xf numFmtId="0" fontId="43" fillId="0" borderId="4" xfId="0" applyFont="1" applyBorder="1" applyAlignment="1">
      <alignment horizontal="left" vertical="top" wrapText="1"/>
    </xf>
    <xf numFmtId="0" fontId="43" fillId="0" borderId="0" xfId="0" applyFont="1" applyAlignment="1">
      <alignment horizontal="left" vertical="top" wrapText="1"/>
    </xf>
    <xf numFmtId="0" fontId="43" fillId="0" borderId="4" xfId="0" applyFont="1" applyBorder="1" applyAlignment="1">
      <alignment horizontal="left" wrapText="1"/>
    </xf>
    <xf numFmtId="0" fontId="43" fillId="0" borderId="0" xfId="0" applyFont="1" applyBorder="1" applyAlignment="1">
      <alignment horizontal="left" wrapText="1"/>
    </xf>
    <xf numFmtId="0" fontId="29" fillId="0" borderId="0" xfId="0" applyFont="1" applyFill="1" applyBorder="1" applyAlignment="1">
      <alignment horizontal="left" vertical="center"/>
    </xf>
    <xf numFmtId="0" fontId="29" fillId="0" borderId="12" xfId="0" applyFont="1" applyBorder="1" applyAlignment="1">
      <alignment horizontal="left" vertical="center"/>
    </xf>
    <xf numFmtId="0" fontId="29" fillId="0" borderId="9" xfId="0" applyFont="1" applyBorder="1" applyAlignment="1">
      <alignment horizontal="left" vertical="center"/>
    </xf>
    <xf numFmtId="0" fontId="0" fillId="0" borderId="0" xfId="0" applyFill="1" applyAlignment="1">
      <alignment horizontal="left" wrapText="1"/>
    </xf>
    <xf numFmtId="0" fontId="0" fillId="0" borderId="5" xfId="0" applyFill="1" applyBorder="1" applyAlignment="1">
      <alignment horizontal="left" wrapText="1"/>
    </xf>
    <xf numFmtId="0" fontId="43" fillId="0" borderId="4" xfId="0" applyFont="1" applyBorder="1" applyAlignment="1">
      <alignment horizontal="left" vertical="center" wrapText="1"/>
    </xf>
    <xf numFmtId="0" fontId="43" fillId="0" borderId="0" xfId="0" applyFont="1" applyBorder="1" applyAlignment="1">
      <alignment horizontal="left" vertical="center" wrapText="1"/>
    </xf>
    <xf numFmtId="0" fontId="0" fillId="0" borderId="12" xfId="0" applyNumberFormat="1" applyBorder="1" applyAlignment="1">
      <alignment horizontal="left" wrapText="1"/>
    </xf>
    <xf numFmtId="0" fontId="0" fillId="0" borderId="9" xfId="0" applyNumberFormat="1" applyBorder="1" applyAlignment="1">
      <alignment horizontal="left" wrapText="1"/>
    </xf>
    <xf numFmtId="0" fontId="0" fillId="0" borderId="0" xfId="0" applyFill="1" applyAlignment="1">
      <alignment horizontal="left" vertical="center" wrapText="1"/>
    </xf>
    <xf numFmtId="0" fontId="0" fillId="0" borderId="12" xfId="0" applyBorder="1" applyAlignment="1">
      <alignment horizontal="left"/>
    </xf>
    <xf numFmtId="0" fontId="0" fillId="0" borderId="9" xfId="0" applyBorder="1" applyAlignment="1">
      <alignment horizontal="left"/>
    </xf>
    <xf numFmtId="0" fontId="29" fillId="0" borderId="0" xfId="0" applyFont="1" applyFill="1" applyBorder="1" applyAlignment="1">
      <alignment horizontal="center" vertical="center"/>
    </xf>
    <xf numFmtId="0" fontId="29" fillId="11" borderId="0" xfId="0" applyFont="1" applyFill="1" applyBorder="1" applyAlignment="1" applyProtection="1">
      <alignment horizontal="left" vertical="top" wrapText="1"/>
      <protection locked="0"/>
    </xf>
    <xf numFmtId="0" fontId="35" fillId="6" borderId="10" xfId="0" applyFont="1" applyFill="1" applyBorder="1" applyAlignment="1" applyProtection="1">
      <alignment horizontal="center" vertical="top"/>
    </xf>
    <xf numFmtId="0" fontId="35" fillId="6" borderId="3" xfId="0" applyFont="1" applyFill="1" applyBorder="1" applyAlignment="1" applyProtection="1">
      <alignment horizontal="center" vertical="top"/>
    </xf>
    <xf numFmtId="0" fontId="35" fillId="6" borderId="2" xfId="0" applyFont="1" applyFill="1" applyBorder="1" applyAlignment="1">
      <alignment horizontal="left" vertical="top" wrapText="1"/>
    </xf>
    <xf numFmtId="0" fontId="35" fillId="6" borderId="10" xfId="0" applyFont="1" applyFill="1" applyBorder="1" applyAlignment="1">
      <alignment horizontal="left" vertical="top" wrapText="1"/>
    </xf>
    <xf numFmtId="0" fontId="24" fillId="6" borderId="6" xfId="0" applyFont="1" applyFill="1" applyBorder="1" applyAlignment="1">
      <alignment horizontal="left" vertical="top" wrapText="1"/>
    </xf>
    <xf numFmtId="0" fontId="24" fillId="6" borderId="11" xfId="0" applyFont="1" applyFill="1" applyBorder="1" applyAlignment="1">
      <alignment horizontal="left" vertical="top" wrapText="1"/>
    </xf>
    <xf numFmtId="0" fontId="10" fillId="5" borderId="0" xfId="0" applyFont="1" applyFill="1" applyAlignment="1">
      <alignment horizontal="center"/>
    </xf>
    <xf numFmtId="0" fontId="7" fillId="5" borderId="0" xfId="0" applyFont="1" applyFill="1" applyAlignment="1">
      <alignment horizontal="left"/>
    </xf>
    <xf numFmtId="0" fontId="6" fillId="0" borderId="0" xfId="0" applyFont="1" applyFill="1" applyBorder="1" applyAlignment="1">
      <alignment horizontal="center"/>
    </xf>
    <xf numFmtId="0" fontId="29" fillId="0" borderId="0" xfId="0" applyFont="1" applyFill="1" applyBorder="1" applyAlignment="1">
      <alignment horizontal="center" vertical="top"/>
    </xf>
    <xf numFmtId="3" fontId="0" fillId="8" borderId="4" xfId="0" applyNumberFormat="1" applyFont="1" applyFill="1" applyBorder="1" applyAlignment="1" applyProtection="1">
      <alignment horizontal="left" vertical="center" wrapText="1"/>
    </xf>
    <xf numFmtId="3" fontId="0" fillId="8" borderId="0" xfId="0" applyNumberFormat="1" applyFont="1" applyFill="1" applyBorder="1" applyAlignment="1" applyProtection="1">
      <alignment horizontal="left" vertical="center" wrapText="1"/>
    </xf>
    <xf numFmtId="0" fontId="0" fillId="8" borderId="0" xfId="0" applyFill="1" applyBorder="1" applyAlignment="1">
      <alignment horizontal="left" vertical="center"/>
    </xf>
    <xf numFmtId="0" fontId="5" fillId="12" borderId="0" xfId="0" applyFont="1" applyFill="1" applyAlignment="1" applyProtection="1">
      <alignment horizontal="left" vertical="center" wrapText="1"/>
      <protection hidden="1"/>
    </xf>
    <xf numFmtId="0" fontId="5" fillId="12" borderId="0" xfId="0" applyFont="1" applyFill="1" applyAlignment="1">
      <alignment horizontal="left" wrapText="1"/>
    </xf>
    <xf numFmtId="0" fontId="0" fillId="0" borderId="0" xfId="0" applyFill="1" applyBorder="1" applyAlignment="1">
      <alignment horizontal="center"/>
    </xf>
    <xf numFmtId="3" fontId="43" fillId="8" borderId="0" xfId="0" applyNumberFormat="1" applyFont="1" applyFill="1" applyBorder="1" applyAlignment="1" applyProtection="1">
      <alignment horizontal="left" vertical="top" wrapText="1"/>
    </xf>
    <xf numFmtId="0" fontId="29" fillId="11" borderId="4" xfId="0" applyFont="1" applyFill="1" applyBorder="1" applyAlignment="1" applyProtection="1">
      <alignment horizontal="left" vertical="center"/>
      <protection locked="0"/>
    </xf>
    <xf numFmtId="0" fontId="29" fillId="11" borderId="0" xfId="0" applyFont="1" applyFill="1" applyBorder="1" applyAlignment="1" applyProtection="1">
      <alignment horizontal="left" vertical="center"/>
      <protection locked="0"/>
    </xf>
    <xf numFmtId="0" fontId="29" fillId="11" borderId="5" xfId="0" applyFont="1" applyFill="1" applyBorder="1" applyAlignment="1" applyProtection="1">
      <alignment horizontal="left" vertical="center"/>
      <protection locked="0"/>
    </xf>
    <xf numFmtId="0" fontId="0" fillId="11" borderId="0" xfId="0" applyFill="1" applyBorder="1" applyAlignment="1">
      <alignment horizontal="left" wrapText="1"/>
    </xf>
    <xf numFmtId="0" fontId="43" fillId="0" borderId="0" xfId="0" applyFont="1" applyBorder="1" applyAlignment="1" applyProtection="1">
      <alignment horizontal="left" vertical="top" wrapText="1"/>
      <protection hidden="1"/>
    </xf>
    <xf numFmtId="0" fontId="43" fillId="6" borderId="0" xfId="0" applyFont="1" applyFill="1" applyBorder="1" applyAlignment="1" applyProtection="1">
      <alignment horizontal="left" vertical="top" wrapText="1"/>
      <protection hidden="1"/>
    </xf>
    <xf numFmtId="0" fontId="43" fillId="12" borderId="0" xfId="0" applyFont="1" applyFill="1" applyBorder="1" applyAlignment="1">
      <alignment horizontal="left" wrapText="1"/>
    </xf>
    <xf numFmtId="0" fontId="43" fillId="12" borderId="0" xfId="0" applyFont="1" applyFill="1" applyAlignment="1">
      <alignment horizontal="left" wrapText="1"/>
    </xf>
    <xf numFmtId="0" fontId="0" fillId="0" borderId="1" xfId="0" applyBorder="1" applyAlignment="1" applyProtection="1">
      <alignment horizontal="left" vertical="top" wrapText="1"/>
      <protection locked="0"/>
    </xf>
    <xf numFmtId="0" fontId="5" fillId="7" borderId="1" xfId="0" applyFont="1" applyFill="1" applyBorder="1" applyAlignment="1">
      <alignment horizontal="left"/>
    </xf>
    <xf numFmtId="0" fontId="0" fillId="0" borderId="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5" fillId="7" borderId="1" xfId="0" applyFont="1" applyFill="1" applyBorder="1" applyAlignment="1">
      <alignment horizontal="left" wrapText="1"/>
    </xf>
    <xf numFmtId="0" fontId="5" fillId="7" borderId="8" xfId="0" applyFont="1" applyFill="1" applyBorder="1" applyAlignment="1">
      <alignment horizontal="left" wrapText="1"/>
    </xf>
    <xf numFmtId="0" fontId="0" fillId="0" borderId="8" xfId="0" applyFill="1" applyBorder="1" applyAlignment="1" applyProtection="1">
      <alignment horizontal="center" vertical="top"/>
      <protection locked="0"/>
    </xf>
    <xf numFmtId="0" fontId="0" fillId="0" borderId="12" xfId="0" applyFill="1" applyBorder="1" applyAlignment="1" applyProtection="1">
      <alignment horizontal="center" vertical="top"/>
      <protection locked="0"/>
    </xf>
    <xf numFmtId="0" fontId="0" fillId="0" borderId="9" xfId="0" applyFill="1" applyBorder="1" applyAlignment="1" applyProtection="1">
      <alignment horizontal="center" vertical="top"/>
      <protection locked="0"/>
    </xf>
    <xf numFmtId="0" fontId="0" fillId="0" borderId="0" xfId="0" applyFill="1" applyBorder="1" applyAlignment="1">
      <alignment horizontal="left" wrapText="1"/>
    </xf>
    <xf numFmtId="0" fontId="15" fillId="2" borderId="8" xfId="0" applyFont="1" applyFill="1" applyBorder="1" applyAlignment="1" applyProtection="1">
      <alignment horizontal="left"/>
      <protection hidden="1"/>
    </xf>
    <xf numFmtId="0" fontId="15" fillId="2" borderId="12" xfId="0" applyFont="1" applyFill="1" applyBorder="1" applyAlignment="1" applyProtection="1">
      <alignment horizontal="left"/>
      <protection hidden="1"/>
    </xf>
    <xf numFmtId="0" fontId="15" fillId="2" borderId="9" xfId="0" applyFont="1" applyFill="1" applyBorder="1" applyAlignment="1" applyProtection="1">
      <alignment horizontal="left"/>
      <protection hidden="1"/>
    </xf>
    <xf numFmtId="0" fontId="15" fillId="2" borderId="8" xfId="0" applyFont="1" applyFill="1" applyBorder="1" applyAlignment="1" applyProtection="1">
      <alignment horizontal="left" wrapText="1"/>
      <protection hidden="1"/>
    </xf>
    <xf numFmtId="0" fontId="15" fillId="2" borderId="12" xfId="0" applyFont="1" applyFill="1" applyBorder="1" applyAlignment="1" applyProtection="1">
      <alignment horizontal="left" wrapText="1"/>
      <protection hidden="1"/>
    </xf>
    <xf numFmtId="0" fontId="15" fillId="2" borderId="9" xfId="0" applyFont="1" applyFill="1" applyBorder="1" applyAlignment="1" applyProtection="1">
      <alignment horizontal="left" wrapText="1"/>
      <protection hidden="1"/>
    </xf>
    <xf numFmtId="0" fontId="2" fillId="5" borderId="8" xfId="0" applyFont="1" applyFill="1" applyBorder="1" applyAlignment="1" applyProtection="1">
      <alignment horizontal="left" wrapText="1"/>
      <protection hidden="1"/>
    </xf>
    <xf numFmtId="0" fontId="2" fillId="5" borderId="12" xfId="0" applyFont="1" applyFill="1" applyBorder="1" applyAlignment="1" applyProtection="1">
      <alignment horizontal="left" wrapText="1"/>
      <protection hidden="1"/>
    </xf>
    <xf numFmtId="0" fontId="15" fillId="0" borderId="4" xfId="0" applyFont="1" applyFill="1" applyBorder="1" applyAlignment="1" applyProtection="1">
      <alignment horizontal="left" wrapText="1"/>
      <protection hidden="1"/>
    </xf>
    <xf numFmtId="0" fontId="15" fillId="0" borderId="0" xfId="0" applyFont="1" applyFill="1" applyBorder="1" applyAlignment="1" applyProtection="1">
      <alignment horizontal="left" wrapText="1"/>
      <protection hidden="1"/>
    </xf>
    <xf numFmtId="0" fontId="0" fillId="0" borderId="10" xfId="0" applyFont="1" applyBorder="1" applyAlignment="1" applyProtection="1">
      <alignment horizontal="left" vertical="top" wrapText="1"/>
      <protection hidden="1"/>
    </xf>
    <xf numFmtId="0" fontId="23" fillId="0" borderId="0" xfId="0" applyFont="1" applyFill="1" applyAlignment="1" applyProtection="1">
      <alignment horizontal="left" wrapText="1"/>
      <protection hidden="1"/>
    </xf>
    <xf numFmtId="0" fontId="10" fillId="5" borderId="0" xfId="0" applyFont="1" applyFill="1" applyAlignment="1" applyProtection="1">
      <alignment horizontal="center"/>
      <protection hidden="1"/>
    </xf>
    <xf numFmtId="0" fontId="15" fillId="0" borderId="4"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0" xfId="0" applyFont="1" applyFill="1" applyAlignment="1" applyProtection="1">
      <alignment horizontal="right"/>
      <protection hidden="1"/>
    </xf>
    <xf numFmtId="7" fontId="17" fillId="0" borderId="10" xfId="0" applyNumberFormat="1" applyFont="1" applyFill="1" applyBorder="1" applyAlignment="1" applyProtection="1">
      <alignment horizontal="left" vertical="top" wrapText="1"/>
      <protection hidden="1"/>
    </xf>
    <xf numFmtId="0" fontId="15" fillId="3" borderId="0" xfId="0" applyFont="1" applyFill="1" applyBorder="1" applyAlignment="1" applyProtection="1">
      <alignment horizontal="center"/>
      <protection hidden="1"/>
    </xf>
    <xf numFmtId="0" fontId="18" fillId="3" borderId="8" xfId="0" applyFont="1" applyFill="1" applyBorder="1" applyAlignment="1" applyProtection="1">
      <alignment horizontal="center"/>
      <protection hidden="1"/>
    </xf>
    <xf numFmtId="0" fontId="18" fillId="3" borderId="12" xfId="0" applyFont="1" applyFill="1" applyBorder="1" applyAlignment="1" applyProtection="1">
      <alignment horizontal="center"/>
      <protection hidden="1"/>
    </xf>
    <xf numFmtId="0" fontId="18" fillId="3" borderId="9" xfId="0" applyFont="1" applyFill="1" applyBorder="1" applyAlignment="1" applyProtection="1">
      <alignment horizontal="center"/>
      <protection hidden="1"/>
    </xf>
    <xf numFmtId="0" fontId="15" fillId="3" borderId="10" xfId="0" applyFont="1" applyFill="1" applyBorder="1" applyAlignment="1" applyProtection="1">
      <alignment horizontal="left"/>
      <protection hidden="1"/>
    </xf>
    <xf numFmtId="0" fontId="15" fillId="3" borderId="0" xfId="0" applyFont="1" applyFill="1" applyBorder="1" applyAlignment="1" applyProtection="1">
      <alignment horizontal="left"/>
      <protection hidden="1"/>
    </xf>
    <xf numFmtId="0" fontId="7" fillId="5" borderId="0" xfId="0" applyFont="1" applyFill="1" applyAlignment="1">
      <alignment horizontal="center"/>
    </xf>
    <xf numFmtId="0" fontId="15" fillId="0" borderId="4" xfId="0" applyFont="1" applyFill="1" applyBorder="1" applyAlignment="1">
      <alignment horizontal="left" wrapText="1"/>
    </xf>
    <xf numFmtId="0" fontId="15" fillId="0" borderId="0" xfId="0" applyFont="1" applyFill="1" applyBorder="1" applyAlignment="1">
      <alignment horizontal="left" wrapText="1"/>
    </xf>
    <xf numFmtId="0" fontId="18" fillId="3" borderId="0" xfId="0" applyFont="1" applyFill="1" applyBorder="1" applyAlignment="1">
      <alignment horizontal="center" vertical="top"/>
    </xf>
    <xf numFmtId="7" fontId="15" fillId="2" borderId="10" xfId="0" applyNumberFormat="1" applyFont="1" applyFill="1" applyBorder="1" applyAlignment="1">
      <alignment horizontal="left"/>
    </xf>
    <xf numFmtId="7" fontId="15" fillId="2" borderId="3" xfId="0" applyNumberFormat="1" applyFont="1" applyFill="1" applyBorder="1" applyAlignment="1">
      <alignment horizontal="left"/>
    </xf>
    <xf numFmtId="0" fontId="17" fillId="0" borderId="0" xfId="0" applyFont="1" applyAlignment="1" applyProtection="1">
      <alignment horizontal="left" vertical="top" wrapText="1"/>
      <protection hidden="1"/>
    </xf>
    <xf numFmtId="0" fontId="7" fillId="10" borderId="0" xfId="0" applyFont="1" applyFill="1" applyAlignment="1">
      <alignment horizontal="center"/>
    </xf>
    <xf numFmtId="0" fontId="15" fillId="3" borderId="0" xfId="0" applyFont="1" applyFill="1" applyBorder="1" applyAlignment="1">
      <alignment horizontal="center"/>
    </xf>
    <xf numFmtId="0" fontId="18" fillId="3" borderId="0" xfId="0" applyFont="1" applyFill="1" applyBorder="1" applyAlignment="1">
      <alignment horizontal="center" wrapText="1"/>
    </xf>
    <xf numFmtId="0" fontId="15" fillId="3" borderId="0" xfId="0" applyFont="1" applyFill="1" applyBorder="1" applyAlignment="1">
      <alignment horizontal="center" vertical="center" wrapText="1"/>
    </xf>
    <xf numFmtId="0" fontId="18" fillId="3" borderId="0" xfId="0" applyFont="1" applyFill="1" applyBorder="1" applyAlignment="1">
      <alignment horizontal="center"/>
    </xf>
    <xf numFmtId="0" fontId="15" fillId="3" borderId="0"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Drop" dropLines="3" dropStyle="combo" dx="16" fmlaLink="P8" fmlaRange="$Q$7:$Q$9" noThreeD="1" sel="3" val="0"/>
</file>

<file path=xl/ctrlProps/ctrlProp10.xml><?xml version="1.0" encoding="utf-8"?>
<formControlPr xmlns="http://schemas.microsoft.com/office/spreadsheetml/2009/9/main" objectType="Radio" noThreeD="1"/>
</file>

<file path=xl/ctrlProps/ctrlProp2.xml><?xml version="1.0" encoding="utf-8"?>
<formControlPr xmlns="http://schemas.microsoft.com/office/spreadsheetml/2009/9/main" objectType="Drop" dropLines="4" dropStyle="combo" dx="16" fmlaLink="P17" fmlaRange="$Q$15:$Q$18" noThreeD="1" sel="2" val="0"/>
</file>

<file path=xl/ctrlProps/ctrlProp3.xml><?xml version="1.0" encoding="utf-8"?>
<formControlPr xmlns="http://schemas.microsoft.com/office/spreadsheetml/2009/9/main" objectType="Drop" dropLines="6" dropStyle="combo" dx="16" fmlaLink="S12" fmlaRange="$R$10:$R$15" noThreeD="1" sel="3" val="0"/>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Lines="2" dropStyle="combo" dx="16" fmlaLink="$P$46" fmlaRange="$Q$45:$Q$46" noThreeD="1" sel="2" val="0"/>
</file>

<file path=xl/ctrlProps/ctrlProp7.xml><?xml version="1.0" encoding="utf-8"?>
<formControlPr xmlns="http://schemas.microsoft.com/office/spreadsheetml/2009/9/main" objectType="Drop" dropLines="3" dropStyle="combo" dx="16" fmlaLink="$S$8" fmlaRange="$T$7:$T$9" noThreeD="1" sel="3" val="0"/>
</file>

<file path=xl/ctrlProps/ctrlProp8.xml><?xml version="1.0" encoding="utf-8"?>
<formControlPr xmlns="http://schemas.microsoft.com/office/spreadsheetml/2009/9/main" objectType="Radio" checked="Checked" firstButton="1" fmlaLink="$P$26" noThreeD="1"/>
</file>

<file path=xl/ctrlProps/ctrlProp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3403600</xdr:colOff>
          <xdr:row>3</xdr:row>
          <xdr:rowOff>171450</xdr:rowOff>
        </xdr:from>
        <xdr:to>
          <xdr:col>2</xdr:col>
          <xdr:colOff>609600</xdr:colOff>
          <xdr:row>3</xdr:row>
          <xdr:rowOff>400050</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3</xdr:row>
          <xdr:rowOff>209550</xdr:rowOff>
        </xdr:from>
        <xdr:to>
          <xdr:col>9</xdr:col>
          <xdr:colOff>895350</xdr:colOff>
          <xdr:row>4</xdr:row>
          <xdr:rowOff>19050</xdr:rowOff>
        </xdr:to>
        <xdr:sp macro="" textlink="">
          <xdr:nvSpPr>
            <xdr:cNvPr id="10271" name="Drop Down 31" hidden="1">
              <a:extLst>
                <a:ext uri="{63B3BB69-23CF-44E3-9099-C40C66FF867C}">
                  <a14:compatExt spid="_x0000_s10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736600</xdr:colOff>
          <xdr:row>9</xdr:row>
          <xdr:rowOff>76200</xdr:rowOff>
        </xdr:from>
        <xdr:to>
          <xdr:col>9</xdr:col>
          <xdr:colOff>152400</xdr:colOff>
          <xdr:row>10</xdr:row>
          <xdr:rowOff>19050</xdr:rowOff>
        </xdr:to>
        <xdr:sp macro="" textlink="">
          <xdr:nvSpPr>
            <xdr:cNvPr id="10275" name="Drop Down 35" hidden="1">
              <a:extLst>
                <a:ext uri="{63B3BB69-23CF-44E3-9099-C40C66FF867C}">
                  <a14:compatExt spid="_x0000_s10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5</xdr:row>
          <xdr:rowOff>127000</xdr:rowOff>
        </xdr:from>
        <xdr:to>
          <xdr:col>12</xdr:col>
          <xdr:colOff>50800</xdr:colOff>
          <xdr:row>6</xdr:row>
          <xdr:rowOff>279400</xdr:rowOff>
        </xdr:to>
        <xdr:sp macro="" textlink="">
          <xdr:nvSpPr>
            <xdr:cNvPr id="10276" name="Button 36" descr="Click to Reset Form" hidden="1">
              <a:extLst>
                <a:ext uri="{63B3BB69-23CF-44E3-9099-C40C66FF867C}">
                  <a14:compatExt spid="_x0000_s10276"/>
                </a:ext>
              </a:extLst>
            </xdr:cNvPr>
            <xdr:cNvSpPr/>
          </xdr:nvSpPr>
          <xdr:spPr bwMode="auto">
            <a:xfrm>
              <a:off x="0" y="0"/>
              <a:ext cx="0" cy="0"/>
            </a:xfrm>
            <a:prstGeom prst="rect">
              <a:avLst/>
            </a:prstGeom>
            <a:noFill/>
            <a:ln w="9525">
              <a:miter lim="800000"/>
              <a:headEnd/>
              <a:tailEnd/>
            </a:ln>
          </xdr:spPr>
          <xdr:txBody>
            <a:bodyPr vertOverflow="clip" wrap="square" lIns="45720" tIns="50292" rIns="45720" bIns="50292" anchor="ctr" upright="1"/>
            <a:lstStyle/>
            <a:p>
              <a:pPr algn="ctr" rtl="0">
                <a:defRPr sz="1000"/>
              </a:pPr>
              <a:r>
                <a:rPr lang="en-US" sz="1600" b="0" i="0" u="none" strike="noStrike" baseline="0">
                  <a:solidFill>
                    <a:srgbClr val="000080"/>
                  </a:solidFill>
                  <a:latin typeface="Calibri"/>
                  <a:cs typeface="Calibri"/>
                </a:rPr>
                <a:t>Reset Form</a:t>
              </a:r>
            </a:p>
          </xdr:txBody>
        </xdr:sp>
        <xdr:clientData fLocksWithSheet="0" fPrintsWithSheet="0"/>
      </xdr:twoCellAnchor>
    </mc:Choice>
    <mc:Fallback/>
  </mc:AlternateContent>
  <xdr:oneCellAnchor>
    <xdr:from>
      <xdr:col>16</xdr:col>
      <xdr:colOff>0</xdr:colOff>
      <xdr:row>12</xdr:row>
      <xdr:rowOff>0</xdr:rowOff>
    </xdr:from>
    <xdr:ext cx="184731" cy="264560"/>
    <xdr:sp macro="" textlink="">
      <xdr:nvSpPr>
        <xdr:cNvPr id="2" name="TextBox 1"/>
        <xdr:cNvSpPr txBox="1"/>
      </xdr:nvSpPr>
      <xdr:spPr>
        <a:xfrm>
          <a:off x="104775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10</xdr:col>
          <xdr:colOff>488950</xdr:colOff>
          <xdr:row>22</xdr:row>
          <xdr:rowOff>12700</xdr:rowOff>
        </xdr:from>
        <xdr:to>
          <xdr:col>11</xdr:col>
          <xdr:colOff>717550</xdr:colOff>
          <xdr:row>22</xdr:row>
          <xdr:rowOff>381000</xdr:rowOff>
        </xdr:to>
        <xdr:sp macro="" textlink="">
          <xdr:nvSpPr>
            <xdr:cNvPr id="10280" name="Button 40" hidden="1">
              <a:extLst>
                <a:ext uri="{63B3BB69-23CF-44E3-9099-C40C66FF867C}">
                  <a14:compatExt spid="_x0000_s1028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Calculate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45</xdr:row>
          <xdr:rowOff>209550</xdr:rowOff>
        </xdr:from>
        <xdr:to>
          <xdr:col>2</xdr:col>
          <xdr:colOff>831850</xdr:colOff>
          <xdr:row>47</xdr:row>
          <xdr:rowOff>19050</xdr:rowOff>
        </xdr:to>
        <xdr:sp macro="" textlink="">
          <xdr:nvSpPr>
            <xdr:cNvPr id="10281" name="Drop Down 41" hidden="1">
              <a:extLst>
                <a:ext uri="{63B3BB69-23CF-44E3-9099-C40C66FF867C}">
                  <a14:compatExt spid="_x0000_s10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3181350</xdr:colOff>
          <xdr:row>4</xdr:row>
          <xdr:rowOff>114300</xdr:rowOff>
        </xdr:from>
        <xdr:to>
          <xdr:col>2</xdr:col>
          <xdr:colOff>628650</xdr:colOff>
          <xdr:row>5</xdr:row>
          <xdr:rowOff>19050</xdr:rowOff>
        </xdr:to>
        <xdr:sp macro="" textlink="">
          <xdr:nvSpPr>
            <xdr:cNvPr id="10282" name="Drop Down 42" hidden="1">
              <a:extLst>
                <a:ext uri="{63B3BB69-23CF-44E3-9099-C40C66FF867C}">
                  <a14:compatExt spid="_x0000_s10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24</xdr:row>
          <xdr:rowOff>114300</xdr:rowOff>
        </xdr:from>
        <xdr:to>
          <xdr:col>12</xdr:col>
          <xdr:colOff>755650</xdr:colOff>
          <xdr:row>24</xdr:row>
          <xdr:rowOff>381000</xdr:rowOff>
        </xdr:to>
        <xdr:sp macro="" textlink="">
          <xdr:nvSpPr>
            <xdr:cNvPr id="10286" name="Option Button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Method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24</xdr:row>
          <xdr:rowOff>279400</xdr:rowOff>
        </xdr:from>
        <xdr:to>
          <xdr:col>12</xdr:col>
          <xdr:colOff>514350</xdr:colOff>
          <xdr:row>24</xdr:row>
          <xdr:rowOff>660400</xdr:rowOff>
        </xdr:to>
        <xdr:sp macro="" textlink="">
          <xdr:nvSpPr>
            <xdr:cNvPr id="10287" name="Option Button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Method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24</xdr:row>
          <xdr:rowOff>552450</xdr:rowOff>
        </xdr:from>
        <xdr:to>
          <xdr:col>12</xdr:col>
          <xdr:colOff>793750</xdr:colOff>
          <xdr:row>24</xdr:row>
          <xdr:rowOff>800100</xdr:rowOff>
        </xdr:to>
        <xdr:sp macro="" textlink="">
          <xdr:nvSpPr>
            <xdr:cNvPr id="10288" name="Option Button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decteams.dec.alaska.gov/AQ/General/SIP_BACT_2017/BACT%20Determinations/FTWW/SCR%20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ta Inputs"/>
      <sheetName val="SCR Design Parameters"/>
      <sheetName val="Cost Estimate"/>
      <sheetName val="ESRI_MAPINFO_SHEET"/>
    </sheetNames>
    <sheetDataSet>
      <sheetData sheetId="0"/>
      <sheetData sheetId="1">
        <row r="24">
          <cell r="C24">
            <v>450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0"/>
  <sheetViews>
    <sheetView showGridLines="0" topLeftCell="A25" zoomScale="110" zoomScaleNormal="110" zoomScaleSheetLayoutView="140" workbookViewId="0">
      <selection sqref="A1:O1"/>
    </sheetView>
  </sheetViews>
  <sheetFormatPr defaultRowHeight="14.5" x14ac:dyDescent="0.35"/>
  <cols>
    <col min="13" max="13" width="34.81640625" customWidth="1"/>
  </cols>
  <sheetData>
    <row r="1" spans="1:15" ht="23.5" x14ac:dyDescent="0.55000000000000004">
      <c r="A1" s="401" t="s">
        <v>92</v>
      </c>
      <c r="B1" s="402"/>
      <c r="C1" s="402"/>
      <c r="D1" s="402"/>
      <c r="E1" s="402"/>
      <c r="F1" s="402"/>
      <c r="G1" s="402"/>
      <c r="H1" s="402"/>
      <c r="I1" s="402"/>
      <c r="J1" s="402"/>
      <c r="K1" s="402"/>
      <c r="L1" s="402"/>
      <c r="M1" s="402"/>
      <c r="N1" s="402"/>
      <c r="O1" s="403"/>
    </row>
    <row r="2" spans="1:15" ht="23.5" x14ac:dyDescent="0.55000000000000004">
      <c r="A2" s="404" t="s">
        <v>153</v>
      </c>
      <c r="B2" s="405"/>
      <c r="C2" s="405"/>
      <c r="D2" s="405"/>
      <c r="E2" s="405"/>
      <c r="F2" s="405"/>
      <c r="G2" s="405"/>
      <c r="H2" s="405"/>
      <c r="I2" s="405"/>
      <c r="J2" s="405"/>
      <c r="K2" s="405"/>
      <c r="L2" s="405"/>
      <c r="M2" s="405"/>
      <c r="N2" s="405"/>
      <c r="O2" s="406"/>
    </row>
    <row r="3" spans="1:15" s="12" customFormat="1" ht="22.5" customHeight="1" x14ac:dyDescent="0.45">
      <c r="A3" s="409" t="s">
        <v>83</v>
      </c>
      <c r="B3" s="410"/>
      <c r="C3" s="410"/>
      <c r="D3" s="410"/>
      <c r="E3" s="410"/>
      <c r="F3" s="410"/>
      <c r="G3" s="410"/>
      <c r="H3" s="410"/>
      <c r="I3" s="410"/>
      <c r="J3" s="410"/>
      <c r="K3" s="410"/>
      <c r="L3" s="410"/>
      <c r="M3" s="410"/>
      <c r="N3" s="410"/>
      <c r="O3" s="411"/>
    </row>
    <row r="4" spans="1:15" s="12" customFormat="1" ht="18.5" x14ac:dyDescent="0.45">
      <c r="A4" s="412" t="s">
        <v>89</v>
      </c>
      <c r="B4" s="413"/>
      <c r="C4" s="413"/>
      <c r="D4" s="413"/>
      <c r="E4" s="413"/>
      <c r="F4" s="413"/>
      <c r="G4" s="413"/>
      <c r="H4" s="413"/>
      <c r="I4" s="413"/>
      <c r="J4" s="413"/>
      <c r="K4" s="413"/>
      <c r="L4" s="413"/>
      <c r="M4" s="413"/>
      <c r="N4" s="413"/>
      <c r="O4" s="414"/>
    </row>
    <row r="5" spans="1:15" s="12" customFormat="1" ht="18.75" customHeight="1" x14ac:dyDescent="0.45">
      <c r="A5" s="415" t="s">
        <v>90</v>
      </c>
      <c r="B5" s="416"/>
      <c r="C5" s="416"/>
      <c r="D5" s="416"/>
      <c r="E5" s="416"/>
      <c r="F5" s="416"/>
      <c r="G5" s="416"/>
      <c r="H5" s="416"/>
      <c r="I5" s="416"/>
      <c r="J5" s="416"/>
      <c r="K5" s="416"/>
      <c r="L5" s="416"/>
      <c r="M5" s="416"/>
      <c r="N5" s="416"/>
      <c r="O5" s="417"/>
    </row>
    <row r="6" spans="1:15" s="12" customFormat="1" ht="18.75" customHeight="1" x14ac:dyDescent="0.45">
      <c r="A6" s="415" t="s">
        <v>91</v>
      </c>
      <c r="B6" s="416"/>
      <c r="C6" s="416"/>
      <c r="D6" s="416"/>
      <c r="E6" s="416"/>
      <c r="F6" s="416"/>
      <c r="G6" s="416"/>
      <c r="H6" s="416"/>
      <c r="I6" s="416"/>
      <c r="J6" s="416"/>
      <c r="K6" s="416"/>
      <c r="L6" s="416"/>
      <c r="M6" s="416"/>
      <c r="N6" s="416"/>
      <c r="O6" s="417"/>
    </row>
    <row r="7" spans="1:15" s="12" customFormat="1" ht="18.5" x14ac:dyDescent="0.45">
      <c r="A7" s="418" t="s">
        <v>269</v>
      </c>
      <c r="B7" s="419"/>
      <c r="C7" s="419"/>
      <c r="D7" s="419"/>
      <c r="E7" s="419"/>
      <c r="F7" s="419"/>
      <c r="G7" s="419"/>
      <c r="H7" s="419"/>
      <c r="I7" s="419"/>
      <c r="J7" s="419"/>
      <c r="K7" s="419"/>
      <c r="L7" s="419"/>
      <c r="M7" s="419"/>
      <c r="N7" s="419"/>
      <c r="O7" s="420"/>
    </row>
    <row r="9" spans="1:15" s="16" customFormat="1" ht="69" customHeight="1" x14ac:dyDescent="0.35">
      <c r="B9" s="407" t="s">
        <v>246</v>
      </c>
      <c r="C9" s="407"/>
      <c r="D9" s="407"/>
      <c r="E9" s="407"/>
      <c r="F9" s="407"/>
      <c r="G9" s="407"/>
      <c r="H9" s="407"/>
      <c r="I9" s="407"/>
      <c r="J9" s="407"/>
      <c r="K9" s="407"/>
      <c r="L9" s="407"/>
      <c r="M9" s="407"/>
      <c r="N9" s="407"/>
      <c r="O9" s="27"/>
    </row>
    <row r="10" spans="1:15" s="16" customFormat="1" ht="15.5" x14ac:dyDescent="0.35"/>
    <row r="11" spans="1:15" s="16" customFormat="1" ht="84" customHeight="1" x14ac:dyDescent="0.35">
      <c r="B11" s="408" t="s">
        <v>303</v>
      </c>
      <c r="C11" s="408"/>
      <c r="D11" s="408"/>
      <c r="E11" s="408"/>
      <c r="F11" s="408"/>
      <c r="G11" s="408"/>
      <c r="H11" s="408"/>
      <c r="I11" s="408"/>
      <c r="J11" s="408"/>
      <c r="K11" s="408"/>
      <c r="L11" s="408"/>
      <c r="M11" s="408"/>
      <c r="N11" s="408"/>
    </row>
    <row r="12" spans="1:15" s="16" customFormat="1" ht="18.75" customHeight="1" x14ac:dyDescent="0.35">
      <c r="B12" s="30"/>
      <c r="C12" s="30"/>
      <c r="D12" s="30"/>
      <c r="E12" s="30"/>
      <c r="F12" s="30"/>
      <c r="G12" s="30"/>
      <c r="H12" s="30"/>
      <c r="I12" s="30"/>
      <c r="J12" s="30"/>
      <c r="K12" s="30"/>
      <c r="L12" s="30"/>
      <c r="M12" s="30"/>
      <c r="N12" s="30"/>
    </row>
    <row r="13" spans="1:15" s="16" customFormat="1" ht="18.75" customHeight="1" x14ac:dyDescent="0.35">
      <c r="B13" s="408" t="s">
        <v>155</v>
      </c>
      <c r="C13" s="408"/>
      <c r="D13" s="408"/>
      <c r="E13" s="408"/>
      <c r="F13" s="408"/>
      <c r="G13" s="408"/>
      <c r="H13" s="408"/>
      <c r="I13" s="408"/>
      <c r="J13" s="408"/>
      <c r="K13" s="408"/>
      <c r="L13" s="408"/>
      <c r="M13" s="408"/>
      <c r="N13" s="408"/>
    </row>
    <row r="14" spans="1:15" s="16" customFormat="1" ht="18.75" customHeight="1" x14ac:dyDescent="0.35">
      <c r="B14" s="30"/>
      <c r="C14" s="30"/>
      <c r="D14" s="30"/>
      <c r="E14" s="30"/>
      <c r="F14" s="30"/>
      <c r="G14" s="30"/>
      <c r="H14" s="30"/>
      <c r="I14" s="30"/>
      <c r="J14" s="30"/>
      <c r="K14" s="30"/>
      <c r="L14" s="30"/>
      <c r="M14" s="30"/>
      <c r="N14" s="30"/>
    </row>
    <row r="15" spans="1:15" s="16" customFormat="1" ht="18.75" customHeight="1" x14ac:dyDescent="0.35">
      <c r="B15" s="32" t="s">
        <v>97</v>
      </c>
      <c r="C15" s="393" t="s">
        <v>93</v>
      </c>
      <c r="D15" s="393"/>
      <c r="E15" s="393"/>
      <c r="F15" s="393"/>
      <c r="G15" s="393"/>
      <c r="H15" s="393"/>
      <c r="I15" s="393"/>
      <c r="J15" s="393"/>
      <c r="K15" s="393"/>
      <c r="L15" s="393"/>
      <c r="M15" s="393"/>
      <c r="N15" s="30"/>
    </row>
    <row r="16" spans="1:15" s="16" customFormat="1" ht="18.75" customHeight="1" x14ac:dyDescent="0.35">
      <c r="B16" s="32" t="s">
        <v>98</v>
      </c>
      <c r="C16" s="393" t="s">
        <v>94</v>
      </c>
      <c r="D16" s="393"/>
      <c r="E16" s="393"/>
      <c r="F16" s="393"/>
      <c r="G16" s="393"/>
      <c r="H16" s="393"/>
      <c r="I16" s="393"/>
      <c r="J16" s="393"/>
      <c r="K16" s="393"/>
      <c r="L16" s="393"/>
      <c r="M16" s="393"/>
      <c r="N16" s="30"/>
    </row>
    <row r="17" spans="2:15" s="16" customFormat="1" ht="18.75" customHeight="1" x14ac:dyDescent="0.35">
      <c r="B17" s="32" t="s">
        <v>99</v>
      </c>
      <c r="C17" s="394" t="s">
        <v>95</v>
      </c>
      <c r="D17" s="394"/>
      <c r="E17" s="394"/>
      <c r="F17" s="394"/>
      <c r="G17" s="394"/>
      <c r="H17" s="394"/>
      <c r="I17" s="394"/>
      <c r="J17" s="394"/>
      <c r="K17" s="394"/>
      <c r="L17" s="394"/>
      <c r="M17" s="394"/>
      <c r="N17" s="30"/>
    </row>
    <row r="18" spans="2:15" s="16" customFormat="1" ht="16.5" customHeight="1" x14ac:dyDescent="0.35">
      <c r="B18" s="32" t="s">
        <v>100</v>
      </c>
      <c r="C18" s="394" t="s">
        <v>96</v>
      </c>
      <c r="D18" s="394"/>
      <c r="E18" s="394"/>
      <c r="F18" s="394"/>
      <c r="G18" s="394"/>
      <c r="H18" s="394"/>
      <c r="I18" s="394"/>
      <c r="J18" s="394"/>
      <c r="K18" s="394"/>
      <c r="L18" s="394"/>
      <c r="M18" s="394"/>
      <c r="N18" s="30"/>
    </row>
    <row r="19" spans="2:15" s="16" customFormat="1" ht="17.25" customHeight="1" x14ac:dyDescent="0.35">
      <c r="B19" s="30"/>
      <c r="C19" s="30"/>
      <c r="D19" s="30"/>
      <c r="E19" s="30"/>
      <c r="F19" s="30"/>
      <c r="G19" s="30"/>
      <c r="H19" s="30"/>
      <c r="I19" s="30"/>
      <c r="J19" s="30"/>
      <c r="K19" s="30"/>
      <c r="L19" s="30"/>
      <c r="M19" s="30"/>
      <c r="N19" s="30"/>
    </row>
    <row r="20" spans="2:15" s="16" customFormat="1" ht="125.25" customHeight="1" x14ac:dyDescent="0.35">
      <c r="B20" s="407" t="s">
        <v>302</v>
      </c>
      <c r="C20" s="407"/>
      <c r="D20" s="407"/>
      <c r="E20" s="407"/>
      <c r="F20" s="407"/>
      <c r="G20" s="407"/>
      <c r="H20" s="407"/>
      <c r="I20" s="407"/>
      <c r="J20" s="407"/>
      <c r="K20" s="407"/>
      <c r="L20" s="407"/>
      <c r="M20" s="407"/>
      <c r="N20" s="407"/>
    </row>
    <row r="21" spans="2:15" s="16" customFormat="1" ht="19.5" customHeight="1" x14ac:dyDescent="0.35">
      <c r="B21" s="39"/>
      <c r="C21" s="39"/>
      <c r="D21" s="39"/>
      <c r="E21" s="39"/>
      <c r="F21" s="39"/>
      <c r="G21" s="39"/>
      <c r="H21" s="39"/>
      <c r="I21" s="39"/>
      <c r="J21" s="39"/>
      <c r="K21" s="39"/>
      <c r="L21" s="39"/>
      <c r="M21" s="39"/>
      <c r="N21" s="39"/>
    </row>
    <row r="22" spans="2:15" s="16" customFormat="1" ht="21" customHeight="1" x14ac:dyDescent="0.35">
      <c r="B22" s="421" t="s">
        <v>112</v>
      </c>
      <c r="C22" s="421"/>
      <c r="D22" s="421"/>
      <c r="E22" s="421"/>
      <c r="F22" s="421"/>
      <c r="G22" s="421"/>
      <c r="H22" s="421"/>
      <c r="I22" s="421"/>
      <c r="J22" s="421"/>
      <c r="K22" s="421"/>
      <c r="L22" s="421"/>
      <c r="M22" s="421"/>
      <c r="N22" s="421"/>
    </row>
    <row r="23" spans="2:15" ht="51.75" customHeight="1" x14ac:dyDescent="0.35">
      <c r="B23" s="395" t="s">
        <v>247</v>
      </c>
      <c r="C23" s="396"/>
      <c r="D23" s="396"/>
      <c r="E23" s="396"/>
      <c r="F23" s="396"/>
      <c r="G23" s="396"/>
      <c r="H23" s="396"/>
      <c r="I23" s="396"/>
      <c r="J23" s="396"/>
      <c r="K23" s="396"/>
      <c r="L23" s="396"/>
      <c r="M23" s="396"/>
      <c r="N23" s="397"/>
      <c r="O23" s="9"/>
    </row>
    <row r="24" spans="2:15" ht="60" customHeight="1" x14ac:dyDescent="0.35">
      <c r="B24" s="395" t="s">
        <v>297</v>
      </c>
      <c r="C24" s="396"/>
      <c r="D24" s="396"/>
      <c r="E24" s="396"/>
      <c r="F24" s="396"/>
      <c r="G24" s="396"/>
      <c r="H24" s="396"/>
      <c r="I24" s="396"/>
      <c r="J24" s="396"/>
      <c r="K24" s="396"/>
      <c r="L24" s="396"/>
      <c r="M24" s="396"/>
      <c r="N24" s="397"/>
      <c r="O24" s="9"/>
    </row>
    <row r="25" spans="2:15" ht="115.5" customHeight="1" x14ac:dyDescent="0.35">
      <c r="B25" s="395" t="s">
        <v>281</v>
      </c>
      <c r="C25" s="396"/>
      <c r="D25" s="396"/>
      <c r="E25" s="396"/>
      <c r="F25" s="396"/>
      <c r="G25" s="396"/>
      <c r="H25" s="396"/>
      <c r="I25" s="396"/>
      <c r="J25" s="396"/>
      <c r="K25" s="396"/>
      <c r="L25" s="396"/>
      <c r="M25" s="396"/>
      <c r="N25" s="397"/>
      <c r="O25" s="9"/>
    </row>
    <row r="26" spans="2:15" s="50" customFormat="1" ht="117.75" customHeight="1" x14ac:dyDescent="0.35">
      <c r="B26" s="395" t="s">
        <v>304</v>
      </c>
      <c r="C26" s="396"/>
      <c r="D26" s="396"/>
      <c r="E26" s="396"/>
      <c r="F26" s="396"/>
      <c r="G26" s="396"/>
      <c r="H26" s="396"/>
      <c r="I26" s="396"/>
      <c r="J26" s="396"/>
      <c r="K26" s="396"/>
      <c r="L26" s="396"/>
      <c r="M26" s="396"/>
      <c r="N26" s="397"/>
      <c r="O26" s="224"/>
    </row>
    <row r="27" spans="2:15" s="50" customFormat="1" ht="52.5" customHeight="1" x14ac:dyDescent="0.35">
      <c r="B27" s="398" t="s">
        <v>154</v>
      </c>
      <c r="C27" s="399"/>
      <c r="D27" s="399"/>
      <c r="E27" s="399"/>
      <c r="F27" s="399"/>
      <c r="G27" s="399"/>
      <c r="H27" s="399"/>
      <c r="I27" s="399"/>
      <c r="J27" s="399"/>
      <c r="K27" s="399"/>
      <c r="L27" s="399"/>
      <c r="M27" s="399"/>
      <c r="N27" s="400"/>
    </row>
    <row r="28" spans="2:15" ht="58.5" customHeight="1" x14ac:dyDescent="0.35">
      <c r="B28" s="31"/>
      <c r="C28" s="31"/>
      <c r="D28" s="31"/>
      <c r="E28" s="31"/>
      <c r="F28" s="31"/>
      <c r="G28" s="31"/>
      <c r="H28" s="31"/>
      <c r="I28" s="31"/>
      <c r="J28" s="31"/>
      <c r="K28" s="31"/>
      <c r="L28" s="31"/>
      <c r="M28" s="31"/>
      <c r="N28" s="31"/>
    </row>
    <row r="29" spans="2:15" ht="19.5" customHeight="1" x14ac:dyDescent="0.35">
      <c r="C29" s="31"/>
      <c r="D29" s="31"/>
      <c r="E29" s="31"/>
      <c r="F29" s="31"/>
      <c r="G29" s="31"/>
      <c r="H29" s="31"/>
      <c r="I29" s="31"/>
      <c r="J29" s="31"/>
      <c r="K29" s="31"/>
      <c r="L29" s="31"/>
      <c r="M29" s="31"/>
      <c r="N29" s="31"/>
    </row>
    <row r="30" spans="2:15" ht="70.5" customHeight="1" x14ac:dyDescent="0.35"/>
  </sheetData>
  <mergeCells count="21">
    <mergeCell ref="B26:N26"/>
    <mergeCell ref="B27:N27"/>
    <mergeCell ref="A1:O1"/>
    <mergeCell ref="A2:O2"/>
    <mergeCell ref="B9:N9"/>
    <mergeCell ref="B11:N11"/>
    <mergeCell ref="B23:N23"/>
    <mergeCell ref="A3:O3"/>
    <mergeCell ref="A4:O4"/>
    <mergeCell ref="A5:O5"/>
    <mergeCell ref="A6:O6"/>
    <mergeCell ref="A7:O7"/>
    <mergeCell ref="B22:N22"/>
    <mergeCell ref="B20:N20"/>
    <mergeCell ref="B13:N13"/>
    <mergeCell ref="C15:M15"/>
    <mergeCell ref="C16:M16"/>
    <mergeCell ref="C17:M17"/>
    <mergeCell ref="C18:M18"/>
    <mergeCell ref="B24:N24"/>
    <mergeCell ref="B25:N25"/>
  </mergeCells>
  <pageMargins left="0.7" right="0.7" top="0.75" bottom="0.75" header="0.3" footer="0.3"/>
  <pageSetup scale="56" orientation="portrait" r:id="rId1"/>
  <ignoredErrors>
    <ignoredError sqref="B15:B1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pageSetUpPr fitToPage="1"/>
  </sheetPr>
  <dimension ref="A1:AD220"/>
  <sheetViews>
    <sheetView showGridLines="0" tabSelected="1" topLeftCell="A28" zoomScale="80" zoomScaleNormal="80" workbookViewId="0">
      <selection activeCell="C34" sqref="C34"/>
    </sheetView>
  </sheetViews>
  <sheetFormatPr defaultRowHeight="14.5" x14ac:dyDescent="0.35"/>
  <cols>
    <col min="1" max="1" width="7.1796875" customWidth="1"/>
    <col min="2" max="2" width="57.26953125" customWidth="1"/>
    <col min="3" max="3" width="16.26953125" customWidth="1"/>
    <col min="4" max="4" width="23.7265625" customWidth="1"/>
    <col min="5" max="5" width="5.26953125" customWidth="1"/>
    <col min="6" max="6" width="6.81640625" customWidth="1"/>
    <col min="7" max="7" width="7.7265625" customWidth="1"/>
    <col min="8" max="8" width="14.81640625" customWidth="1"/>
    <col min="9" max="9" width="12.26953125" customWidth="1"/>
    <col min="10" max="10" width="14.1796875" customWidth="1"/>
    <col min="11" max="11" width="14.453125" customWidth="1"/>
    <col min="12" max="12" width="11.1796875" style="116" customWidth="1"/>
    <col min="13" max="13" width="12.81640625" style="116" customWidth="1"/>
    <col min="14" max="14" width="1.7265625" style="116" customWidth="1"/>
    <col min="15" max="15" width="36" style="118" customWidth="1"/>
    <col min="16" max="16" width="41.7265625" style="118" customWidth="1"/>
    <col min="17" max="17" width="25.81640625" style="118" customWidth="1"/>
    <col min="18" max="18" width="17" style="118" customWidth="1"/>
    <col min="19" max="19" width="14.26953125" style="118" customWidth="1"/>
    <col min="20" max="20" width="20.54296875" style="118" customWidth="1"/>
    <col min="21" max="21" width="12.81640625" style="118" customWidth="1"/>
    <col min="22" max="22" width="12" style="118" customWidth="1"/>
    <col min="23" max="28" width="9.1796875" style="118" customWidth="1"/>
    <col min="29" max="29" width="9.1796875" style="44" customWidth="1"/>
  </cols>
  <sheetData>
    <row r="1" spans="1:30" s="14" customFormat="1" ht="26" x14ac:dyDescent="0.6">
      <c r="A1" s="446" t="s">
        <v>128</v>
      </c>
      <c r="B1" s="446"/>
      <c r="C1" s="446"/>
      <c r="D1" s="446"/>
      <c r="E1" s="446"/>
      <c r="F1" s="446"/>
      <c r="G1" s="446"/>
      <c r="H1" s="446"/>
      <c r="I1" s="446"/>
      <c r="J1" s="446"/>
      <c r="K1" s="446"/>
      <c r="L1" s="446"/>
      <c r="M1" s="446"/>
      <c r="N1" s="446"/>
      <c r="O1" s="183"/>
      <c r="P1" s="115"/>
      <c r="Q1" s="115"/>
      <c r="R1" s="115"/>
      <c r="S1" s="115"/>
      <c r="T1" s="115"/>
      <c r="U1" s="115"/>
      <c r="V1" s="115"/>
      <c r="W1" s="115"/>
      <c r="X1" s="115"/>
      <c r="Y1" s="115"/>
      <c r="Z1" s="115"/>
      <c r="AA1" s="115"/>
      <c r="AB1" s="115"/>
      <c r="AC1" s="84"/>
      <c r="AD1" s="47"/>
    </row>
    <row r="2" spans="1:30" x14ac:dyDescent="0.35">
      <c r="A2" s="9"/>
      <c r="B2" s="9"/>
      <c r="C2" s="9"/>
      <c r="D2" s="9"/>
      <c r="E2" s="9"/>
      <c r="F2" s="9"/>
      <c r="G2" s="9"/>
      <c r="O2" s="117"/>
      <c r="AD2" s="48"/>
    </row>
    <row r="3" spans="1:30" s="12" customFormat="1" ht="20.25" customHeight="1" x14ac:dyDescent="0.45">
      <c r="A3" s="447" t="s">
        <v>11</v>
      </c>
      <c r="B3" s="447"/>
      <c r="C3" s="447"/>
      <c r="D3" s="447"/>
      <c r="E3" s="447"/>
      <c r="F3" s="447"/>
      <c r="G3" s="447"/>
      <c r="H3" s="447"/>
      <c r="I3" s="447"/>
      <c r="J3" s="447"/>
      <c r="K3" s="447"/>
      <c r="L3" s="447"/>
      <c r="M3" s="447"/>
      <c r="N3" s="447"/>
      <c r="O3" s="184"/>
      <c r="P3" s="119"/>
      <c r="Q3" s="119"/>
      <c r="R3" s="119"/>
      <c r="S3" s="119"/>
      <c r="T3" s="119"/>
      <c r="U3" s="119"/>
      <c r="V3" s="119"/>
      <c r="W3" s="119"/>
      <c r="X3" s="119"/>
      <c r="Y3" s="119"/>
      <c r="Z3" s="119"/>
      <c r="AA3" s="119"/>
      <c r="AB3" s="119"/>
      <c r="AC3" s="46"/>
      <c r="AD3" s="49"/>
    </row>
    <row r="4" spans="1:30" s="11" customFormat="1" ht="33" customHeight="1" x14ac:dyDescent="0.35">
      <c r="A4" s="179" t="s">
        <v>18</v>
      </c>
      <c r="B4" s="180"/>
      <c r="C4" s="180"/>
      <c r="D4" s="180"/>
      <c r="E4" s="180"/>
      <c r="F4" s="179" t="s">
        <v>17</v>
      </c>
      <c r="G4" s="180"/>
      <c r="H4" s="180"/>
      <c r="I4" s="180"/>
      <c r="J4" s="180"/>
      <c r="K4" s="180"/>
      <c r="L4" s="181"/>
      <c r="M4" s="181"/>
      <c r="N4" s="181"/>
      <c r="P4" s="118"/>
      <c r="Q4" s="118"/>
      <c r="R4" s="118"/>
      <c r="S4" s="118"/>
      <c r="T4" s="118"/>
      <c r="U4" s="118"/>
      <c r="V4" s="118"/>
      <c r="W4" s="118"/>
      <c r="X4" s="118"/>
      <c r="Y4" s="118"/>
      <c r="Z4" s="118"/>
      <c r="AA4" s="118"/>
      <c r="AB4" s="118"/>
      <c r="AC4" s="44"/>
      <c r="AD4" s="48"/>
    </row>
    <row r="5" spans="1:30" ht="27" customHeight="1" x14ac:dyDescent="0.35">
      <c r="A5" s="278" t="s">
        <v>251</v>
      </c>
      <c r="B5" s="182"/>
      <c r="C5" s="182"/>
      <c r="D5" s="182"/>
      <c r="E5" s="182"/>
      <c r="F5" s="182"/>
      <c r="G5" s="182"/>
      <c r="H5" s="182"/>
      <c r="I5" s="182"/>
      <c r="J5" s="182"/>
      <c r="K5" s="182"/>
      <c r="L5" s="181"/>
      <c r="M5" s="181"/>
      <c r="N5" s="181"/>
      <c r="O5" s="117"/>
      <c r="AD5" s="48"/>
    </row>
    <row r="6" spans="1:30" ht="21.75" customHeight="1" x14ac:dyDescent="0.35">
      <c r="A6" s="454"/>
      <c r="B6" s="454"/>
      <c r="C6" s="454"/>
      <c r="D6" s="182"/>
      <c r="E6" s="182"/>
      <c r="F6" s="182"/>
      <c r="G6" s="182"/>
      <c r="H6" s="182"/>
      <c r="I6" s="182"/>
      <c r="J6" s="182"/>
      <c r="K6" s="182"/>
      <c r="L6" s="181"/>
      <c r="M6" s="181"/>
      <c r="N6" s="181"/>
      <c r="O6" s="117"/>
      <c r="AD6" s="48"/>
    </row>
    <row r="7" spans="1:30" ht="33.75" customHeight="1" x14ac:dyDescent="0.35">
      <c r="A7" s="453" t="str">
        <f>IF(S8=3, "Please enter a retrofit factor between 0.8 and 1.5 based on the level of difficulty.  Enter 1 for projects of average retrofit difficulty.", " ")</f>
        <v>Please enter a retrofit factor between 0.8 and 1.5 based on the level of difficulty.  Enter 1 for projects of average retrofit difficulty.</v>
      </c>
      <c r="B7" s="453"/>
      <c r="C7" s="453"/>
      <c r="D7" s="361">
        <v>1.5</v>
      </c>
      <c r="E7" s="463" t="str">
        <f>IF(D7&gt;1, "* NOTE: You must document why a retrofit factor of "&amp;D7&amp;" is appropriate for the proposed project.", " ")</f>
        <v>* NOTE: You must document why a retrofit factor of 1.5 is appropriate for the proposed project.</v>
      </c>
      <c r="F7" s="464"/>
      <c r="G7" s="464"/>
      <c r="H7" s="464"/>
      <c r="I7" s="464"/>
      <c r="J7" s="182"/>
      <c r="K7" s="182"/>
      <c r="L7" s="181"/>
      <c r="M7" s="181"/>
      <c r="N7" s="181"/>
      <c r="O7" s="117"/>
      <c r="Q7" s="118" t="s">
        <v>52</v>
      </c>
      <c r="AD7" s="48"/>
    </row>
    <row r="8" spans="1:30" s="9" customFormat="1" ht="38.25" customHeight="1" x14ac:dyDescent="0.35">
      <c r="A8" s="10" t="s">
        <v>127</v>
      </c>
      <c r="C8" s="5"/>
      <c r="D8" s="5"/>
      <c r="E8" s="5"/>
      <c r="F8" s="5"/>
      <c r="G8" s="5"/>
      <c r="H8" s="5"/>
      <c r="I8" s="5"/>
      <c r="J8" s="5"/>
      <c r="K8" s="5"/>
      <c r="L8" s="117"/>
      <c r="M8" s="117"/>
      <c r="N8" s="117"/>
      <c r="P8" s="173">
        <v>3</v>
      </c>
      <c r="Q8" s="118" t="s">
        <v>15</v>
      </c>
      <c r="R8" s="118"/>
      <c r="S8" s="174">
        <v>3</v>
      </c>
      <c r="T8" s="118" t="s">
        <v>252</v>
      </c>
      <c r="U8" s="118"/>
      <c r="V8" s="118"/>
      <c r="W8" s="118"/>
      <c r="X8" s="118"/>
      <c r="Y8" s="118"/>
      <c r="Z8" s="118"/>
      <c r="AA8" s="118"/>
      <c r="AB8" s="118"/>
      <c r="AC8" s="44"/>
      <c r="AD8" s="48"/>
    </row>
    <row r="9" spans="1:30" ht="28.5" customHeight="1" x14ac:dyDescent="0.35">
      <c r="F9" s="357" t="s">
        <v>270</v>
      </c>
      <c r="G9" s="358"/>
      <c r="H9" s="358"/>
      <c r="I9" s="358"/>
      <c r="J9" s="358"/>
      <c r="K9" s="358"/>
      <c r="L9" s="358"/>
      <c r="M9" s="358"/>
      <c r="N9" s="359"/>
      <c r="O9" s="117"/>
      <c r="Q9" s="118" t="s">
        <v>16</v>
      </c>
      <c r="T9" s="118" t="s">
        <v>253</v>
      </c>
      <c r="AD9" s="48"/>
    </row>
    <row r="10" spans="1:30" ht="20.25" customHeight="1" x14ac:dyDescent="0.35">
      <c r="B10" s="57" t="s">
        <v>313</v>
      </c>
      <c r="C10" s="71">
        <v>495</v>
      </c>
      <c r="D10" s="72" t="s">
        <v>312</v>
      </c>
      <c r="F10" s="78" t="s">
        <v>124</v>
      </c>
      <c r="G10" s="6"/>
      <c r="H10" s="6"/>
      <c r="I10" s="6"/>
      <c r="J10" s="6"/>
      <c r="K10" s="6"/>
      <c r="L10" s="121"/>
      <c r="M10" s="121"/>
      <c r="N10" s="149"/>
      <c r="O10" s="117"/>
      <c r="Q10" s="175"/>
      <c r="T10" s="118" t="s">
        <v>121</v>
      </c>
      <c r="V10" s="176">
        <f>IF(I12=" ", "NA",((I12/100)*(64/32)*1000000)/C12)</f>
        <v>0.66137566137566139</v>
      </c>
      <c r="AD10" s="48"/>
    </row>
    <row r="11" spans="1:30" x14ac:dyDescent="0.35">
      <c r="B11" s="68"/>
      <c r="C11" t="s">
        <v>52</v>
      </c>
      <c r="F11" s="2"/>
      <c r="G11" s="3"/>
      <c r="H11" s="3"/>
      <c r="I11" s="3"/>
      <c r="J11" s="3"/>
      <c r="K11" s="3"/>
      <c r="L11" s="122"/>
      <c r="M11" s="122"/>
      <c r="N11" s="120"/>
      <c r="O11" s="117"/>
      <c r="Q11" s="175"/>
      <c r="R11" s="118" t="s">
        <v>50</v>
      </c>
      <c r="T11" s="118" t="s">
        <v>122</v>
      </c>
      <c r="V11" s="118">
        <f>IF(V10="NA",1, (IF(V10&lt;3,2,(IF(V10&gt;3,3)))))</f>
        <v>2</v>
      </c>
      <c r="AD11" s="48"/>
    </row>
    <row r="12" spans="1:30" ht="18.75" customHeight="1" x14ac:dyDescent="0.35">
      <c r="B12" t="s">
        <v>19</v>
      </c>
      <c r="C12" s="69">
        <v>7560</v>
      </c>
      <c r="D12" s="73" t="s">
        <v>272</v>
      </c>
      <c r="F12" s="450" t="s">
        <v>120</v>
      </c>
      <c r="G12" s="451"/>
      <c r="H12" s="451"/>
      <c r="I12" s="360">
        <v>0.25</v>
      </c>
      <c r="J12" s="452" t="s">
        <v>53</v>
      </c>
      <c r="K12" s="452"/>
      <c r="L12" s="122"/>
      <c r="M12" s="122"/>
      <c r="N12" s="120"/>
      <c r="O12" s="117"/>
      <c r="P12" s="173">
        <v>1</v>
      </c>
      <c r="Q12" s="175"/>
      <c r="R12" s="118" t="s">
        <v>125</v>
      </c>
      <c r="S12" s="173">
        <v>3</v>
      </c>
      <c r="T12" s="173"/>
      <c r="AD12" s="48"/>
    </row>
    <row r="13" spans="1:30" ht="27" customHeight="1" x14ac:dyDescent="0.35">
      <c r="A13" s="1"/>
      <c r="B13" s="456" t="str">
        <f>IF(OR(C12=C73, C12=1030,C12=11814,C12=6534,C12=8730,C12=139713),"*HHV value of "&amp;C12&amp;" "&amp;D12&amp;" is a default value. See below for data source. Enter actual HHV for fuel burned, if known. "," ")</f>
        <v xml:space="preserve"> </v>
      </c>
      <c r="C13" s="456"/>
      <c r="D13" s="456"/>
      <c r="E13" s="66"/>
      <c r="F13" s="254"/>
      <c r="G13" s="461" t="str">
        <f>IF(P17=2, (IF(OR(I12=0.91,I12=0.31,I12=2.35,I12=C72),"*The sulfur content of "&amp;I12&amp;"% is a default value. See below for data source. Enter actual value, if known.", " ")), " ")</f>
        <v xml:space="preserve"> </v>
      </c>
      <c r="H13" s="461"/>
      <c r="I13" s="462"/>
      <c r="J13" s="461"/>
      <c r="K13" s="461"/>
      <c r="L13" s="461"/>
      <c r="M13" s="122"/>
      <c r="N13" s="120"/>
      <c r="R13" s="118" t="s">
        <v>51</v>
      </c>
      <c r="AD13" s="48"/>
    </row>
    <row r="14" spans="1:30" ht="19.5" customHeight="1" x14ac:dyDescent="0.35">
      <c r="A14" s="1"/>
      <c r="B14" s="148" t="s">
        <v>310</v>
      </c>
      <c r="C14" s="69">
        <f>284557*2000</f>
        <v>569114000</v>
      </c>
      <c r="D14" s="70" t="s">
        <v>311</v>
      </c>
      <c r="F14" s="2"/>
      <c r="G14" s="3"/>
      <c r="H14" s="3"/>
      <c r="I14" s="3"/>
      <c r="J14" s="3"/>
      <c r="K14" s="3"/>
      <c r="L14" s="122"/>
      <c r="M14" s="163"/>
      <c r="N14" s="123"/>
      <c r="R14" s="118" t="s">
        <v>137</v>
      </c>
      <c r="AD14" s="48"/>
    </row>
    <row r="15" spans="1:30" ht="16.5" customHeight="1" x14ac:dyDescent="0.35">
      <c r="C15" t="s">
        <v>52</v>
      </c>
      <c r="E15" s="3"/>
      <c r="F15" s="457" t="s">
        <v>271</v>
      </c>
      <c r="G15" s="458"/>
      <c r="H15" s="458"/>
      <c r="I15" s="458"/>
      <c r="J15" s="458"/>
      <c r="K15" s="458"/>
      <c r="L15" s="458"/>
      <c r="M15" s="458"/>
      <c r="N15" s="459"/>
      <c r="R15" s="118" t="s">
        <v>21</v>
      </c>
      <c r="AD15" s="48"/>
    </row>
    <row r="16" spans="1:30" ht="54.75" customHeight="1" x14ac:dyDescent="0.35">
      <c r="B16" s="212"/>
      <c r="F16" s="343"/>
      <c r="G16" s="460" t="s">
        <v>299</v>
      </c>
      <c r="H16" s="460"/>
      <c r="I16" s="460"/>
      <c r="J16" s="460"/>
      <c r="K16" s="460"/>
      <c r="L16" s="460"/>
      <c r="M16" s="460"/>
      <c r="N16" s="344"/>
      <c r="Q16" s="118" t="s">
        <v>20</v>
      </c>
      <c r="AD16" s="48"/>
    </row>
    <row r="17" spans="1:30" ht="15" customHeight="1" x14ac:dyDescent="0.35">
      <c r="B17" s="50" t="s">
        <v>25</v>
      </c>
      <c r="C17" s="143">
        <v>11.833</v>
      </c>
      <c r="D17" s="144" t="s">
        <v>26</v>
      </c>
      <c r="F17" s="150"/>
      <c r="G17" s="213"/>
      <c r="H17" s="213"/>
      <c r="I17" s="6"/>
      <c r="J17" s="448"/>
      <c r="K17" s="448"/>
      <c r="L17" s="448"/>
      <c r="M17" s="121"/>
      <c r="N17" s="149"/>
      <c r="P17" s="173">
        <v>2</v>
      </c>
      <c r="Q17" s="118" t="s">
        <v>9</v>
      </c>
      <c r="AD17" s="48"/>
    </row>
    <row r="18" spans="1:30" ht="31.5" customHeight="1" x14ac:dyDescent="0.35">
      <c r="C18" t="s">
        <v>52</v>
      </c>
      <c r="E18" s="3"/>
      <c r="F18" s="150"/>
      <c r="G18" s="455"/>
      <c r="H18" s="455"/>
      <c r="I18" s="351" t="s">
        <v>139</v>
      </c>
      <c r="J18" s="352" t="s">
        <v>138</v>
      </c>
      <c r="K18" s="351" t="s">
        <v>140</v>
      </c>
      <c r="L18" s="121"/>
      <c r="M18" s="214"/>
      <c r="N18" s="165"/>
      <c r="Q18" s="118" t="s">
        <v>14</v>
      </c>
      <c r="AD18" s="48"/>
    </row>
    <row r="19" spans="1:30" ht="13.5" customHeight="1" x14ac:dyDescent="0.35">
      <c r="B19" t="s">
        <v>48</v>
      </c>
      <c r="C19" s="67" t="s">
        <v>43</v>
      </c>
      <c r="D19" s="152" t="s">
        <v>47</v>
      </c>
      <c r="F19" s="150"/>
      <c r="G19" s="449" t="s">
        <v>50</v>
      </c>
      <c r="H19" s="449"/>
      <c r="I19" s="353">
        <v>0</v>
      </c>
      <c r="J19" s="354">
        <v>2.35</v>
      </c>
      <c r="K19" s="355">
        <v>11814</v>
      </c>
      <c r="L19" s="121"/>
      <c r="M19" s="215"/>
      <c r="N19" s="166"/>
      <c r="AD19" s="48"/>
    </row>
    <row r="20" spans="1:30" x14ac:dyDescent="0.35">
      <c r="C20" s="7" t="s">
        <v>20</v>
      </c>
      <c r="D20" s="153" t="s">
        <v>46</v>
      </c>
      <c r="F20" s="150"/>
      <c r="G20" s="438" t="s">
        <v>125</v>
      </c>
      <c r="H20" s="438"/>
      <c r="I20" s="353">
        <v>1</v>
      </c>
      <c r="J20" s="356">
        <v>0.2</v>
      </c>
      <c r="K20" s="355">
        <f>C12</f>
        <v>7560</v>
      </c>
      <c r="L20" s="121"/>
      <c r="M20" s="215"/>
      <c r="N20" s="166"/>
      <c r="P20" s="176"/>
      <c r="AD20" s="48"/>
    </row>
    <row r="21" spans="1:30" x14ac:dyDescent="0.35">
      <c r="C21" s="7" t="s">
        <v>9</v>
      </c>
      <c r="D21" s="154" t="s">
        <v>45</v>
      </c>
      <c r="F21" s="150"/>
      <c r="G21" s="438" t="s">
        <v>51</v>
      </c>
      <c r="H21" s="438"/>
      <c r="I21" s="353">
        <v>0</v>
      </c>
      <c r="J21" s="356">
        <v>0.91</v>
      </c>
      <c r="K21" s="355">
        <v>6534</v>
      </c>
      <c r="L21" s="121"/>
      <c r="M21" s="215"/>
      <c r="N21" s="166"/>
    </row>
    <row r="22" spans="1:30" x14ac:dyDescent="0.35">
      <c r="C22" s="8" t="s">
        <v>14</v>
      </c>
      <c r="D22" s="155" t="s">
        <v>44</v>
      </c>
      <c r="F22" s="150"/>
      <c r="G22" s="6"/>
      <c r="H22" s="6"/>
      <c r="I22" s="6"/>
      <c r="J22" s="6"/>
      <c r="K22" s="6"/>
      <c r="L22" s="121"/>
      <c r="M22" s="121"/>
      <c r="N22" s="149"/>
    </row>
    <row r="23" spans="1:30" ht="33.75" customHeight="1" x14ac:dyDescent="0.35">
      <c r="F23" s="156"/>
      <c r="G23" s="439" t="s">
        <v>141</v>
      </c>
      <c r="H23" s="439"/>
      <c r="I23" s="439"/>
      <c r="J23" s="439"/>
      <c r="K23" s="6"/>
      <c r="L23" s="121"/>
      <c r="M23" s="121"/>
      <c r="N23" s="149"/>
      <c r="AD23" s="48"/>
    </row>
    <row r="24" spans="1:30" x14ac:dyDescent="0.35">
      <c r="B24" s="223" t="s">
        <v>107</v>
      </c>
      <c r="C24" s="143">
        <v>450</v>
      </c>
      <c r="D24" s="236" t="s">
        <v>129</v>
      </c>
      <c r="E24" s="6"/>
      <c r="F24" s="156"/>
      <c r="G24" s="6"/>
      <c r="H24" s="6"/>
      <c r="I24" s="6"/>
      <c r="J24" s="6"/>
      <c r="K24" s="6"/>
      <c r="L24" s="121"/>
      <c r="M24" s="121"/>
      <c r="N24" s="149"/>
      <c r="AD24" s="48"/>
    </row>
    <row r="25" spans="1:30" ht="73.5" customHeight="1" x14ac:dyDescent="0.35">
      <c r="E25" s="151"/>
      <c r="F25" s="442" t="s">
        <v>300</v>
      </c>
      <c r="G25" s="443"/>
      <c r="H25" s="443"/>
      <c r="I25" s="443"/>
      <c r="J25" s="443"/>
      <c r="K25" s="443"/>
      <c r="L25" s="440"/>
      <c r="M25" s="440"/>
      <c r="N25" s="441"/>
      <c r="O25" s="350"/>
      <c r="P25" s="173"/>
      <c r="AD25" s="48"/>
    </row>
    <row r="26" spans="1:30" ht="21.75" customHeight="1" x14ac:dyDescent="0.45">
      <c r="E26" s="151"/>
      <c r="F26" s="444" t="str">
        <f>IF(AND(P17=2,P26=3), "* You must select either method 1 or method 2 for a coal-fired boiler!", " ")</f>
        <v xml:space="preserve"> </v>
      </c>
      <c r="G26" s="445"/>
      <c r="H26" s="445"/>
      <c r="I26" s="445"/>
      <c r="J26" s="445"/>
      <c r="K26" s="445"/>
      <c r="L26" s="382"/>
      <c r="M26" s="382"/>
      <c r="N26" s="362"/>
      <c r="O26" s="350"/>
      <c r="P26" s="383">
        <v>1</v>
      </c>
      <c r="AD26" s="48"/>
    </row>
    <row r="27" spans="1:30" ht="18.75" customHeight="1" x14ac:dyDescent="0.35">
      <c r="E27" s="151"/>
      <c r="G27" s="9"/>
      <c r="H27" s="9"/>
      <c r="I27" s="9"/>
      <c r="J27" s="9"/>
      <c r="AD27" s="48"/>
    </row>
    <row r="28" spans="1:30" s="12" customFormat="1" ht="18.5" x14ac:dyDescent="0.45">
      <c r="A28" s="205" t="s">
        <v>159</v>
      </c>
      <c r="B28" s="205"/>
      <c r="C28" s="205"/>
      <c r="D28" s="205"/>
      <c r="E28" s="205"/>
      <c r="F28" s="205"/>
      <c r="G28" s="205"/>
      <c r="H28" s="205"/>
      <c r="I28" s="205"/>
      <c r="J28" s="205"/>
      <c r="K28" s="205"/>
      <c r="L28" s="205"/>
      <c r="M28" s="205"/>
      <c r="N28" s="205"/>
      <c r="O28" s="184"/>
      <c r="P28" s="119"/>
      <c r="Q28" s="119"/>
      <c r="R28" s="118"/>
      <c r="S28" s="119"/>
      <c r="T28" s="118"/>
      <c r="U28" s="177"/>
      <c r="V28" s="178"/>
      <c r="W28" s="119"/>
      <c r="X28" s="119"/>
      <c r="Y28" s="119"/>
      <c r="Z28" s="119"/>
      <c r="AA28" s="119"/>
      <c r="AB28" s="119"/>
      <c r="AC28" s="46"/>
      <c r="AD28" s="49"/>
    </row>
    <row r="29" spans="1:30" s="12" customFormat="1" ht="18.5" x14ac:dyDescent="0.45">
      <c r="A29" s="216"/>
      <c r="B29" s="216"/>
      <c r="C29" s="216"/>
      <c r="D29" s="216"/>
      <c r="E29" s="216"/>
      <c r="F29" s="216"/>
      <c r="G29" s="216"/>
      <c r="H29" s="216"/>
      <c r="I29" s="216"/>
      <c r="J29" s="216"/>
      <c r="K29" s="216"/>
      <c r="L29" s="216"/>
      <c r="M29" s="216"/>
      <c r="N29" s="216"/>
      <c r="O29" s="184"/>
      <c r="P29" s="119"/>
      <c r="Q29" s="119"/>
      <c r="R29" s="118"/>
      <c r="S29" s="119"/>
      <c r="T29" s="118"/>
      <c r="U29" s="177"/>
      <c r="V29" s="178"/>
      <c r="W29" s="119"/>
      <c r="X29" s="119"/>
      <c r="Y29" s="119"/>
      <c r="Z29" s="119"/>
      <c r="AA29" s="119"/>
      <c r="AB29" s="119"/>
      <c r="AC29" s="46"/>
      <c r="AD29" s="49"/>
    </row>
    <row r="30" spans="1:30" ht="15.5" x14ac:dyDescent="0.35">
      <c r="G30" s="9"/>
      <c r="H30" s="9"/>
      <c r="I30" s="9"/>
      <c r="J30" s="9"/>
      <c r="R30" s="177"/>
      <c r="U30" s="177"/>
      <c r="V30" s="173"/>
      <c r="AD30" s="48"/>
    </row>
    <row r="31" spans="1:30" ht="31.5" customHeight="1" x14ac:dyDescent="0.35">
      <c r="B31" s="50" t="s">
        <v>168</v>
      </c>
      <c r="C31" s="227">
        <v>365</v>
      </c>
      <c r="D31" s="228" t="s">
        <v>6</v>
      </c>
      <c r="E31" s="3"/>
      <c r="H31" s="224" t="s">
        <v>268</v>
      </c>
      <c r="I31" s="9"/>
      <c r="J31" s="9"/>
      <c r="K31" s="230">
        <v>1</v>
      </c>
      <c r="L31" s="235"/>
      <c r="M31" s="235"/>
      <c r="N31" s="226"/>
      <c r="R31" s="177"/>
      <c r="U31" s="177"/>
      <c r="V31" s="173"/>
      <c r="AD31" s="48"/>
    </row>
    <row r="32" spans="1:30" ht="31.5" customHeight="1" x14ac:dyDescent="0.35">
      <c r="B32" s="50" t="s">
        <v>171</v>
      </c>
      <c r="C32" s="227">
        <v>365</v>
      </c>
      <c r="D32" s="228" t="s">
        <v>6</v>
      </c>
      <c r="E32" s="3"/>
      <c r="G32" s="223"/>
      <c r="H32" s="224" t="s">
        <v>182</v>
      </c>
      <c r="I32" s="191"/>
      <c r="J32" s="6"/>
      <c r="K32" s="230">
        <v>3</v>
      </c>
      <c r="L32" s="253"/>
      <c r="M32" s="235"/>
      <c r="N32" s="226"/>
      <c r="R32" s="177"/>
      <c r="U32" s="177"/>
      <c r="V32" s="173"/>
      <c r="AD32" s="48"/>
    </row>
    <row r="33" spans="2:30" ht="29.25" customHeight="1" x14ac:dyDescent="0.35">
      <c r="B33" s="50" t="s">
        <v>169</v>
      </c>
      <c r="C33" s="289">
        <f>AVERAGE(0.445,0.359)</f>
        <v>0.40200000000000002</v>
      </c>
      <c r="D33" s="228" t="s">
        <v>7</v>
      </c>
      <c r="E33" s="3"/>
      <c r="G33" s="9"/>
      <c r="H33" s="223" t="s">
        <v>232</v>
      </c>
      <c r="I33" s="191"/>
      <c r="J33" s="223"/>
      <c r="K33" s="281">
        <v>1</v>
      </c>
      <c r="L33" s="124"/>
      <c r="M33" s="124"/>
      <c r="N33" s="125"/>
      <c r="R33" s="177"/>
      <c r="U33" s="177"/>
      <c r="AD33" s="48"/>
    </row>
    <row r="34" spans="2:30" ht="24" customHeight="1" x14ac:dyDescent="0.35">
      <c r="B34" s="145" t="s">
        <v>244</v>
      </c>
      <c r="C34" s="229">
        <v>90</v>
      </c>
      <c r="D34" s="228" t="s">
        <v>4</v>
      </c>
      <c r="E34" s="6"/>
      <c r="G34" s="9"/>
      <c r="H34" s="224" t="s">
        <v>213</v>
      </c>
      <c r="I34" s="9"/>
      <c r="J34" s="9"/>
      <c r="K34" s="282">
        <v>10</v>
      </c>
      <c r="L34" s="256" t="s">
        <v>214</v>
      </c>
      <c r="M34" s="257"/>
      <c r="N34" s="225"/>
      <c r="R34" s="177"/>
      <c r="U34" s="177"/>
      <c r="AD34" s="48"/>
    </row>
    <row r="35" spans="2:30" ht="30.75" customHeight="1" x14ac:dyDescent="0.35">
      <c r="B35" s="50" t="s">
        <v>265</v>
      </c>
      <c r="C35" s="289">
        <v>0.52500000000000002</v>
      </c>
      <c r="D35" s="228"/>
      <c r="G35" s="9"/>
      <c r="H35" s="435" t="s">
        <v>221</v>
      </c>
      <c r="I35" s="435"/>
      <c r="J35" s="435"/>
      <c r="K35" s="237" t="s">
        <v>282</v>
      </c>
      <c r="L35" s="436" t="s">
        <v>181</v>
      </c>
      <c r="M35" s="436"/>
      <c r="N35" s="437"/>
      <c r="R35" s="177"/>
      <c r="U35" s="177"/>
      <c r="AD35" s="48"/>
    </row>
    <row r="36" spans="2:30" ht="34.5" customHeight="1" x14ac:dyDescent="0.35">
      <c r="B36" s="274" t="str">
        <f>IF(OR(C35=1.05, C35=0.525), "*The SRF value of "&amp;C35&amp;" is a default value. User should enter actual value, if known.", " ")</f>
        <v>*The SRF value of 0.525 is a default value. User should enter actual value, if known.</v>
      </c>
      <c r="D36" s="160"/>
      <c r="E36" s="80"/>
      <c r="G36" s="9"/>
      <c r="H36" s="435" t="s">
        <v>200</v>
      </c>
      <c r="I36" s="435"/>
      <c r="J36" s="435"/>
      <c r="K36" s="390">
        <f>(165049.1+158508.1+162738.3)/3</f>
        <v>162098.5</v>
      </c>
      <c r="L36" s="436" t="s">
        <v>172</v>
      </c>
      <c r="M36" s="436"/>
      <c r="N36" s="437"/>
      <c r="R36" s="177"/>
      <c r="U36" s="177"/>
      <c r="AD36" s="48"/>
    </row>
    <row r="37" spans="2:30" ht="30.75" customHeight="1" x14ac:dyDescent="0.35">
      <c r="B37" s="224"/>
      <c r="D37" s="160"/>
      <c r="E37" s="258"/>
      <c r="G37" s="9"/>
      <c r="H37" s="6"/>
      <c r="I37" s="6"/>
      <c r="J37" s="6"/>
      <c r="K37" s="234" t="s">
        <v>52</v>
      </c>
      <c r="L37" s="426"/>
      <c r="M37" s="426"/>
      <c r="N37" s="426"/>
      <c r="R37" s="177"/>
      <c r="U37" s="177"/>
      <c r="AD37" s="48"/>
    </row>
    <row r="38" spans="2:30" ht="30.75" customHeight="1" x14ac:dyDescent="0.35">
      <c r="B38" s="224" t="s">
        <v>180</v>
      </c>
      <c r="C38" s="231">
        <v>24000</v>
      </c>
      <c r="D38" s="228" t="str">
        <f>"hours"&amp;(IF(C38=26000,"*", " "))</f>
        <v xml:space="preserve">hours </v>
      </c>
      <c r="E38" s="422" t="str">
        <f>IF(C38=26000, "* 24,000 hours is a default value for the operating life of a catalyst. User should enter actual value, if known.", " ")</f>
        <v xml:space="preserve"> </v>
      </c>
      <c r="F38" s="423"/>
      <c r="G38" s="423"/>
      <c r="H38" s="423"/>
      <c r="I38" s="423"/>
      <c r="J38" s="9"/>
      <c r="K38" s="234" t="s">
        <v>52</v>
      </c>
      <c r="L38" s="233"/>
      <c r="M38" s="233"/>
      <c r="N38" s="233"/>
      <c r="R38" s="177"/>
      <c r="U38" s="177"/>
      <c r="AD38" s="48"/>
    </row>
    <row r="39" spans="2:30" ht="36.75" customHeight="1" x14ac:dyDescent="0.35">
      <c r="B39" t="s">
        <v>250</v>
      </c>
      <c r="C39" s="227">
        <v>20</v>
      </c>
      <c r="D39" s="228" t="s">
        <v>249</v>
      </c>
      <c r="E39" s="80"/>
      <c r="G39" s="9"/>
      <c r="H39" s="224" t="s">
        <v>201</v>
      </c>
      <c r="I39" s="9"/>
      <c r="J39" s="9"/>
      <c r="K39" s="388">
        <v>310</v>
      </c>
      <c r="L39" s="427" t="s">
        <v>202</v>
      </c>
      <c r="M39" s="427"/>
      <c r="N39" s="428"/>
      <c r="O39" s="290" t="str">
        <f>IF(K39=650,"*The SCR inlet temperature of 650 deg.F is a default value. Enter actual temperature, if known.", " ")</f>
        <v xml:space="preserve"> </v>
      </c>
      <c r="P39" s="290"/>
      <c r="Q39" s="291"/>
      <c r="R39" s="290"/>
      <c r="S39" s="290"/>
      <c r="T39" s="290"/>
      <c r="U39" s="177"/>
      <c r="AD39" s="48"/>
    </row>
    <row r="40" spans="2:30" ht="30.75" customHeight="1" x14ac:dyDescent="0.45">
      <c r="B40" s="275" t="str">
        <f>IF(P8=2,"* For utility boilers, the typical equipment life of an SCR is at least 30 years.",(IF(P8=3,"* For industrial boilers, the typical equipment life is between 20 and 25 years.", " ")))</f>
        <v>* For industrial boilers, the typical equipment life is between 20 and 25 years.</v>
      </c>
      <c r="C40" s="255"/>
      <c r="D40" s="160"/>
      <c r="G40" s="9"/>
      <c r="H40" s="429" t="s">
        <v>298</v>
      </c>
      <c r="I40" s="429"/>
      <c r="J40" s="430"/>
      <c r="K40" s="283">
        <v>516</v>
      </c>
      <c r="L40" s="427" t="s">
        <v>203</v>
      </c>
      <c r="M40" s="427"/>
      <c r="N40" s="428"/>
      <c r="R40" s="177"/>
      <c r="U40" s="177"/>
      <c r="AD40" s="48"/>
    </row>
    <row r="41" spans="2:30" ht="22.5" customHeight="1" x14ac:dyDescent="0.45">
      <c r="B41" t="s">
        <v>78</v>
      </c>
      <c r="C41" s="230">
        <v>50</v>
      </c>
      <c r="D41" s="228" t="str">
        <f>"percent"&amp;(IF(OR(C41=29, C41=50),"*", " "))</f>
        <v>percent*</v>
      </c>
      <c r="E41" s="431" t="str">
        <f>IF(AND(C41=29,C42=56), "*The reagent concentration of 29% and density of 56 lbs/cft are default values for ammonia reagent. User should enter actual values for reagent, if different from the default values provided.", (IF(AND(C41=50,C42=71), "*The reagent concentration of 50% and density of 71 lbs/cft are default values for urea reagent. User should enter actual values for reagent, if different from the default values provided.", " ")))</f>
        <v>*The reagent concentration of 50% and density of 71 lbs/cft are default values for urea reagent. User should enter actual values for reagent, if different from the default values provided.</v>
      </c>
      <c r="F41" s="432"/>
      <c r="G41" s="432"/>
      <c r="H41" s="432"/>
      <c r="I41" s="432"/>
      <c r="J41" s="273"/>
      <c r="K41" s="272"/>
      <c r="L41" s="272"/>
      <c r="M41" s="208"/>
      <c r="N41" s="208"/>
      <c r="R41" s="177"/>
      <c r="U41" s="177"/>
      <c r="AD41" s="48"/>
    </row>
    <row r="42" spans="2:30" ht="24" customHeight="1" x14ac:dyDescent="0.35">
      <c r="B42" s="384" t="s">
        <v>305</v>
      </c>
      <c r="C42" s="227">
        <v>71</v>
      </c>
      <c r="D42" s="228" t="str">
        <f>"lb/cubic feet"&amp;(IF(OR(C42=56,C42=71),"*"," "))</f>
        <v>lb/cubic feet*</v>
      </c>
      <c r="E42" s="431"/>
      <c r="F42" s="432"/>
      <c r="G42" s="432"/>
      <c r="H42" s="432"/>
      <c r="I42" s="432"/>
      <c r="J42" s="222"/>
      <c r="K42" s="208"/>
      <c r="L42" s="208"/>
      <c r="M42" s="208"/>
      <c r="N42" s="208"/>
      <c r="R42" s="177"/>
      <c r="U42" s="177"/>
      <c r="AD42" s="48"/>
    </row>
    <row r="43" spans="2:30" ht="21.75" customHeight="1" x14ac:dyDescent="0.45">
      <c r="B43" t="s">
        <v>74</v>
      </c>
      <c r="C43" s="227">
        <v>30</v>
      </c>
      <c r="D43" s="228" t="s">
        <v>6</v>
      </c>
      <c r="E43" s="431"/>
      <c r="F43" s="432"/>
      <c r="G43" s="432"/>
      <c r="H43" s="432"/>
      <c r="I43" s="432"/>
      <c r="J43" s="261" t="s">
        <v>170</v>
      </c>
      <c r="K43" s="157"/>
      <c r="L43" s="157"/>
      <c r="M43" s="157"/>
      <c r="N43" s="264"/>
      <c r="R43" s="177"/>
      <c r="U43" s="177"/>
      <c r="AD43" s="48"/>
    </row>
    <row r="44" spans="2:30" ht="16.5" x14ac:dyDescent="0.35">
      <c r="E44" s="3"/>
      <c r="G44" s="9"/>
      <c r="H44" s="9"/>
      <c r="I44" s="9"/>
      <c r="J44" s="262" t="s">
        <v>133</v>
      </c>
      <c r="K44" s="206"/>
      <c r="L44" s="158">
        <v>71</v>
      </c>
      <c r="M44" s="252" t="s">
        <v>134</v>
      </c>
      <c r="N44" s="265"/>
      <c r="R44" s="177"/>
      <c r="U44" s="177"/>
      <c r="AD44" s="48"/>
    </row>
    <row r="45" spans="2:30" ht="16.5" x14ac:dyDescent="0.35">
      <c r="E45" s="80"/>
      <c r="G45" s="9"/>
      <c r="H45" s="9"/>
      <c r="I45" s="9"/>
      <c r="J45" s="262" t="s">
        <v>135</v>
      </c>
      <c r="K45" s="206"/>
      <c r="L45" s="158">
        <v>56</v>
      </c>
      <c r="M45" s="252" t="s">
        <v>134</v>
      </c>
      <c r="N45" s="265"/>
      <c r="Q45" s="118" t="s">
        <v>13</v>
      </c>
      <c r="R45" s="177"/>
      <c r="U45" s="177"/>
      <c r="AD45" s="48"/>
    </row>
    <row r="46" spans="2:30" ht="16.5" x14ac:dyDescent="0.35">
      <c r="C46" s="36"/>
      <c r="D46" s="3"/>
      <c r="E46" s="3"/>
      <c r="G46" s="9"/>
      <c r="H46" s="9"/>
      <c r="I46" s="9"/>
      <c r="J46" s="262" t="s">
        <v>136</v>
      </c>
      <c r="K46" s="206"/>
      <c r="L46" s="158">
        <v>58</v>
      </c>
      <c r="M46" s="252" t="s">
        <v>134</v>
      </c>
      <c r="N46" s="265"/>
      <c r="P46" s="173">
        <v>2</v>
      </c>
      <c r="Q46" s="118" t="s">
        <v>12</v>
      </c>
      <c r="R46" s="177"/>
      <c r="U46" s="177"/>
      <c r="AD46" s="48"/>
    </row>
    <row r="47" spans="2:30" x14ac:dyDescent="0.35">
      <c r="B47" s="15" t="s">
        <v>66</v>
      </c>
      <c r="G47" s="9"/>
      <c r="H47" s="9"/>
      <c r="I47" s="9"/>
      <c r="J47" s="263"/>
      <c r="K47" s="159"/>
      <c r="L47" s="159"/>
      <c r="M47" s="159"/>
      <c r="N47" s="266"/>
      <c r="S47" s="175"/>
      <c r="T47" s="175"/>
      <c r="AD47" s="48"/>
    </row>
    <row r="48" spans="2:30" x14ac:dyDescent="0.35">
      <c r="G48" s="9"/>
      <c r="H48" s="9"/>
      <c r="I48" s="9"/>
      <c r="J48" s="9"/>
      <c r="S48" s="175"/>
      <c r="T48" s="175"/>
      <c r="AD48" s="48"/>
    </row>
    <row r="49" spans="1:30" x14ac:dyDescent="0.35">
      <c r="G49" s="9"/>
      <c r="H49" s="9"/>
      <c r="I49" s="9"/>
      <c r="J49" s="9"/>
    </row>
    <row r="50" spans="1:30" s="12" customFormat="1" ht="18.5" x14ac:dyDescent="0.45">
      <c r="A50" s="205" t="s">
        <v>158</v>
      </c>
      <c r="B50" s="205"/>
      <c r="C50" s="205"/>
      <c r="D50" s="205"/>
      <c r="E50" s="205"/>
      <c r="F50" s="205"/>
      <c r="G50" s="205"/>
      <c r="H50" s="205"/>
      <c r="I50" s="205"/>
      <c r="J50" s="205"/>
      <c r="K50" s="205"/>
      <c r="L50" s="205"/>
      <c r="M50" s="205"/>
      <c r="N50" s="205"/>
      <c r="O50" s="184"/>
      <c r="P50" s="119"/>
      <c r="Q50" s="119"/>
      <c r="R50" s="119"/>
      <c r="S50" s="119"/>
      <c r="T50" s="119"/>
      <c r="U50" s="119"/>
      <c r="V50" s="119"/>
      <c r="W50" s="119"/>
      <c r="X50" s="119"/>
      <c r="Y50" s="119"/>
      <c r="Z50" s="119"/>
      <c r="AA50" s="119"/>
      <c r="AB50" s="119"/>
      <c r="AC50" s="46"/>
      <c r="AD50" s="49"/>
    </row>
    <row r="51" spans="1:30" x14ac:dyDescent="0.35">
      <c r="G51" s="9"/>
      <c r="H51" s="9"/>
      <c r="I51" s="9"/>
      <c r="J51" s="9"/>
    </row>
    <row r="52" spans="1:30" ht="18.75" customHeight="1" x14ac:dyDescent="0.35">
      <c r="B52" t="s">
        <v>103</v>
      </c>
      <c r="C52" s="33">
        <v>2016</v>
      </c>
      <c r="D52" s="4"/>
      <c r="E52" s="4"/>
      <c r="F52" s="4"/>
      <c r="G52" s="219"/>
      <c r="H52" s="220"/>
      <c r="I52" s="9"/>
      <c r="J52" s="9"/>
      <c r="AD52" s="48"/>
    </row>
    <row r="53" spans="1:30" ht="20.25" customHeight="1" x14ac:dyDescent="0.35">
      <c r="B53" s="3" t="str">
        <f>"CEPCI for " &amp; C52</f>
        <v>CEPCI for 2016</v>
      </c>
      <c r="C53" s="33">
        <v>536.4</v>
      </c>
      <c r="D53" s="235" t="str">
        <f>IF(C52=2014," ","Enter the CEPCI value for "&amp;C52)</f>
        <v>Enter the CEPCI value for 2016</v>
      </c>
      <c r="E53" s="4"/>
      <c r="F53" s="38">
        <v>584.6</v>
      </c>
      <c r="G53" s="221" t="s">
        <v>102</v>
      </c>
      <c r="H53" s="220"/>
      <c r="I53" s="9" t="s">
        <v>117</v>
      </c>
      <c r="J53" s="9"/>
      <c r="AD53" s="48"/>
    </row>
    <row r="54" spans="1:30" ht="16.5" customHeight="1" x14ac:dyDescent="0.35">
      <c r="B54" s="3" t="s">
        <v>80</v>
      </c>
      <c r="C54" s="33">
        <v>5</v>
      </c>
      <c r="D54" s="4" t="s">
        <v>29</v>
      </c>
      <c r="E54" s="4"/>
      <c r="F54" s="4"/>
      <c r="G54" s="219"/>
      <c r="H54" s="220"/>
      <c r="I54" s="9"/>
      <c r="J54" s="9"/>
      <c r="AD54" s="48"/>
    </row>
    <row r="55" spans="1:30" ht="28.5" customHeight="1" x14ac:dyDescent="0.45">
      <c r="B55" s="3" t="s">
        <v>81</v>
      </c>
      <c r="C55" s="34">
        <v>1.62</v>
      </c>
      <c r="D55" s="4" t="str">
        <f>"$/gallon for a "&amp;C41&amp;" percent solution of "&amp;(IF(P46=2,"urea",(IF(P46=1,"ammonia", " "))))&amp;(IF(C55=200,"*"," "))</f>
        <v xml:space="preserve">$/gallon for a 50 percent solution of urea </v>
      </c>
      <c r="E55" s="4"/>
      <c r="F55" s="4"/>
      <c r="G55" s="219"/>
      <c r="H55" s="220"/>
      <c r="I55" s="424" t="str">
        <f>IF(C55=3.56, "* $3.56/gallon is a default value for the reagent cost. User should enter actual value, if known.", " ")</f>
        <v xml:space="preserve"> </v>
      </c>
      <c r="J55" s="425"/>
      <c r="K55" s="425"/>
      <c r="L55" s="425"/>
      <c r="M55" s="425"/>
      <c r="N55" s="425"/>
      <c r="AD55" s="48"/>
    </row>
    <row r="56" spans="1:30" ht="27.75" customHeight="1" x14ac:dyDescent="0.45">
      <c r="B56" s="3" t="s">
        <v>82</v>
      </c>
      <c r="C56" s="389">
        <v>0.21</v>
      </c>
      <c r="D56" s="79" t="str">
        <f>"$/kWh"&amp;(IF(OR(C56=0.071, C56=0.039), "*"," "))</f>
        <v xml:space="preserve">$/kWh </v>
      </c>
      <c r="E56" s="4"/>
      <c r="F56" s="4"/>
      <c r="G56" s="219"/>
      <c r="H56" s="220"/>
      <c r="I56" s="424" t="str">
        <f>IF(C56=0.039,"* $0.0390/kWh is a default value for electicity cost. User should enter actual value, if known.",(IF(C56=0.071,"* $0.071/kWh is a default value for electrity cost. User should enter actual value, if known."," ")))</f>
        <v xml:space="preserve"> </v>
      </c>
      <c r="J56" s="425"/>
      <c r="K56" s="425"/>
      <c r="L56" s="425"/>
      <c r="M56" s="425"/>
      <c r="N56" s="425"/>
      <c r="AD56" s="48"/>
    </row>
    <row r="57" spans="1:30" ht="38.25" customHeight="1" x14ac:dyDescent="0.45">
      <c r="B57" s="6" t="s">
        <v>178</v>
      </c>
      <c r="C57" s="161">
        <v>160</v>
      </c>
      <c r="D57" s="433" t="str">
        <f>"$/cubic foot (includes removal and disposal/regeneration of existing catalyst and installation of new catalyst"&amp;(IF(C57=160,"*"," "))</f>
        <v>$/cubic foot (includes removal and disposal/regeneration of existing catalyst and installation of new catalyst*</v>
      </c>
      <c r="E57" s="433"/>
      <c r="F57" s="433"/>
      <c r="G57" s="433"/>
      <c r="H57" s="434"/>
      <c r="I57" s="424" t="str">
        <f>IF(C57=160, "*  $160/cf is a default value for the catalyst cost. User should enter actual value, if known.", " ")</f>
        <v>*  $160/cf is a default value for the catalyst cost. User should enter actual value, if known.</v>
      </c>
      <c r="J57" s="425"/>
      <c r="K57" s="425"/>
      <c r="L57" s="425"/>
      <c r="M57" s="425"/>
      <c r="N57" s="425"/>
      <c r="AD57" s="48"/>
    </row>
    <row r="58" spans="1:30" ht="25.5" customHeight="1" x14ac:dyDescent="0.35">
      <c r="B58" s="6" t="s">
        <v>262</v>
      </c>
      <c r="C58" s="288">
        <v>60</v>
      </c>
      <c r="D58" s="79" t="str">
        <f>"$/hour (including benefits)"&amp;(IF(C58=60,"*"," "))</f>
        <v>$/hour (including benefits)*</v>
      </c>
      <c r="E58" s="4"/>
      <c r="F58" s="4"/>
      <c r="G58" s="219"/>
      <c r="H58" s="220"/>
      <c r="I58" s="424" t="str">
        <f>IF(C58=60, "*  $60/hour is a default value for the operator labor rate. User should enter actual value, if known.", " ")</f>
        <v>*  $60/hour is a default value for the operator labor rate. User should enter actual value, if known.</v>
      </c>
      <c r="J58" s="425"/>
      <c r="K58" s="425"/>
      <c r="L58" s="425"/>
      <c r="M58" s="425"/>
      <c r="N58" s="425"/>
      <c r="AD58" s="48"/>
    </row>
    <row r="59" spans="1:30" ht="22.5" customHeight="1" x14ac:dyDescent="0.35">
      <c r="B59" s="6" t="s">
        <v>263</v>
      </c>
      <c r="C59" s="288">
        <v>4</v>
      </c>
      <c r="D59" s="79" t="str">
        <f>"hours/day"&amp;(IF(C59=4,"*"," "))</f>
        <v>hours/day*</v>
      </c>
      <c r="E59" s="4"/>
      <c r="F59" s="4"/>
      <c r="G59" s="219"/>
      <c r="H59" s="220"/>
      <c r="I59" s="424" t="str">
        <f>IF(C59=4, "*  4 hours/day is a default value for the operator labor. User should enter actual value, if known.", " ")</f>
        <v>*  4 hours/day is a default value for the operator labor. User should enter actual value, if known.</v>
      </c>
      <c r="J59" s="425"/>
      <c r="K59" s="425"/>
      <c r="L59" s="425"/>
      <c r="M59" s="425"/>
      <c r="N59" s="425"/>
      <c r="AD59" s="48"/>
    </row>
    <row r="60" spans="1:30" ht="35.25" customHeight="1" x14ac:dyDescent="0.35">
      <c r="B60" s="479" t="s">
        <v>116</v>
      </c>
      <c r="C60" s="479"/>
      <c r="D60" s="479"/>
      <c r="E60" s="479"/>
      <c r="F60" s="479"/>
      <c r="G60" s="460"/>
      <c r="H60" s="460"/>
      <c r="I60" s="207"/>
      <c r="J60" s="207"/>
      <c r="K60" s="207"/>
      <c r="L60" s="207"/>
      <c r="M60" s="207"/>
      <c r="N60" s="207"/>
    </row>
    <row r="61" spans="1:30" x14ac:dyDescent="0.35">
      <c r="B61" s="6"/>
      <c r="G61" s="9"/>
      <c r="H61" s="9"/>
      <c r="I61" s="9"/>
      <c r="J61" s="9"/>
    </row>
    <row r="62" spans="1:30" s="12" customFormat="1" ht="18.5" x14ac:dyDescent="0.45">
      <c r="A62" s="205" t="s">
        <v>115</v>
      </c>
      <c r="B62" s="205"/>
      <c r="C62" s="205"/>
      <c r="D62" s="205"/>
      <c r="E62" s="205"/>
      <c r="F62" s="205"/>
      <c r="G62" s="205"/>
      <c r="H62" s="205"/>
      <c r="I62" s="205"/>
      <c r="J62" s="205"/>
      <c r="K62" s="205"/>
      <c r="L62" s="205"/>
      <c r="M62" s="205"/>
      <c r="N62" s="205"/>
      <c r="O62" s="184"/>
      <c r="P62" s="119"/>
      <c r="Q62" s="119"/>
      <c r="R62" s="119"/>
      <c r="S62" s="119"/>
      <c r="T62" s="119"/>
      <c r="U62" s="119"/>
      <c r="V62" s="119"/>
      <c r="W62" s="119"/>
      <c r="X62" s="119"/>
      <c r="Y62" s="119"/>
      <c r="Z62" s="119"/>
      <c r="AA62" s="119"/>
      <c r="AB62" s="119"/>
      <c r="AC62" s="46"/>
      <c r="AD62" s="49"/>
    </row>
    <row r="63" spans="1:30" s="49" customFormat="1" ht="14.25" customHeight="1" x14ac:dyDescent="0.45">
      <c r="A63" s="64"/>
      <c r="B63" s="45"/>
      <c r="C63" s="45">
        <v>1.4999999999999999E-2</v>
      </c>
      <c r="D63" s="45"/>
      <c r="E63" s="45"/>
      <c r="F63" s="45"/>
      <c r="G63" s="217"/>
      <c r="H63" s="217"/>
      <c r="I63" s="217"/>
      <c r="J63" s="217"/>
      <c r="K63" s="45"/>
      <c r="L63" s="119"/>
      <c r="M63" s="119"/>
      <c r="N63" s="119"/>
      <c r="P63" s="119"/>
      <c r="Q63" s="119"/>
      <c r="R63" s="119"/>
      <c r="S63" s="119"/>
      <c r="T63" s="119"/>
      <c r="U63" s="119"/>
      <c r="V63" s="119"/>
      <c r="W63" s="119"/>
      <c r="X63" s="119"/>
      <c r="Y63" s="119"/>
      <c r="Z63" s="119"/>
      <c r="AA63" s="119"/>
      <c r="AB63" s="119"/>
      <c r="AC63" s="46"/>
    </row>
    <row r="64" spans="1:30" x14ac:dyDescent="0.35">
      <c r="B64" t="s">
        <v>114</v>
      </c>
      <c r="C64" s="65">
        <v>5.0000000000000001E-3</v>
      </c>
      <c r="D64" s="80" t="str">
        <f>IF(C64&gt;0.005,"*MCF is greater than the IPM default value of 0.005. User must document why the value entered is appropriate.",(IF(C64&lt;0.005,"*MCF is less than the IPM default value of 0.005. User must document why the value entered is appropriate."," ")))</f>
        <v xml:space="preserve"> </v>
      </c>
      <c r="G64" s="9"/>
      <c r="H64" s="9"/>
      <c r="I64" s="9"/>
      <c r="J64" s="9"/>
    </row>
    <row r="65" spans="1:29" x14ac:dyDescent="0.35">
      <c r="B65" t="s">
        <v>113</v>
      </c>
      <c r="C65" s="65">
        <v>0.03</v>
      </c>
      <c r="D65" s="80" t="str">
        <f>IF(C65&gt;0.03,"*ACF is greater than the IPM default value of 0.03. User must document why the value entered is appropriate.",(IF(C65&lt;0.03,"*ACF is less than the IPM default value of 0.03. User must document why the value entered is appropriate."," ")))</f>
        <v xml:space="preserve"> </v>
      </c>
      <c r="G65" s="9"/>
      <c r="H65" s="9"/>
      <c r="I65" s="9"/>
      <c r="J65" s="9"/>
    </row>
    <row r="66" spans="1:29" x14ac:dyDescent="0.35">
      <c r="G66" s="9"/>
      <c r="H66" s="9"/>
      <c r="I66" s="9"/>
      <c r="J66" s="9"/>
    </row>
    <row r="67" spans="1:29" s="16" customFormat="1" ht="18.5" x14ac:dyDescent="0.45">
      <c r="A67" s="205" t="s">
        <v>119</v>
      </c>
      <c r="B67" s="205"/>
      <c r="C67" s="205"/>
      <c r="D67" s="205"/>
      <c r="E67" s="205"/>
      <c r="F67" s="205"/>
      <c r="G67" s="205"/>
      <c r="H67" s="205"/>
      <c r="I67" s="205"/>
      <c r="J67" s="205"/>
      <c r="K67" s="205"/>
      <c r="L67" s="205"/>
      <c r="M67" s="205"/>
      <c r="N67" s="205"/>
      <c r="O67" s="184"/>
      <c r="P67" s="126"/>
      <c r="Q67" s="126"/>
      <c r="R67" s="126"/>
      <c r="S67" s="126"/>
      <c r="T67" s="126"/>
      <c r="U67" s="126"/>
      <c r="V67" s="126"/>
      <c r="W67" s="126"/>
      <c r="X67" s="126"/>
      <c r="Y67" s="126"/>
      <c r="Z67" s="126"/>
      <c r="AA67" s="126"/>
      <c r="AB67" s="126"/>
      <c r="AC67" s="55"/>
    </row>
    <row r="68" spans="1:29" ht="16.5" customHeight="1" x14ac:dyDescent="0.35">
      <c r="G68" s="9"/>
      <c r="H68" s="9"/>
      <c r="I68" s="9"/>
      <c r="J68" s="9"/>
    </row>
    <row r="69" spans="1:29" ht="47.25" customHeight="1" x14ac:dyDescent="0.35">
      <c r="B69" s="81" t="s">
        <v>118</v>
      </c>
      <c r="C69" s="164" t="s">
        <v>238</v>
      </c>
      <c r="D69" s="466" t="s">
        <v>240</v>
      </c>
      <c r="E69" s="466"/>
      <c r="F69" s="466"/>
      <c r="G69" s="466"/>
      <c r="H69" s="466"/>
      <c r="I69" s="466"/>
      <c r="J69" s="474" t="s">
        <v>306</v>
      </c>
      <c r="K69" s="474"/>
      <c r="L69" s="474"/>
      <c r="M69" s="474"/>
      <c r="N69" s="475"/>
      <c r="O69" s="170" t="s">
        <v>142</v>
      </c>
      <c r="P69" s="167"/>
      <c r="Q69" s="167"/>
      <c r="R69" s="167"/>
      <c r="S69" s="167"/>
    </row>
    <row r="70" spans="1:29" ht="45" customHeight="1" x14ac:dyDescent="0.35">
      <c r="B70" s="82" t="s">
        <v>248</v>
      </c>
      <c r="C70" s="284">
        <v>1.62</v>
      </c>
      <c r="D70" s="465" t="s">
        <v>256</v>
      </c>
      <c r="E70" s="465"/>
      <c r="F70" s="465"/>
      <c r="G70" s="465"/>
      <c r="H70" s="465"/>
      <c r="I70" s="465"/>
      <c r="J70" s="476" t="s">
        <v>52</v>
      </c>
      <c r="K70" s="477"/>
      <c r="L70" s="477"/>
      <c r="M70" s="477"/>
      <c r="N70" s="478"/>
      <c r="O70" s="172" t="s">
        <v>143</v>
      </c>
      <c r="P70" s="168"/>
      <c r="Q70" s="168"/>
      <c r="R70" s="168"/>
      <c r="S70" s="168"/>
    </row>
    <row r="71" spans="1:29" ht="70.5" customHeight="1" x14ac:dyDescent="0.35">
      <c r="B71" s="82" t="s">
        <v>149</v>
      </c>
      <c r="C71" s="284">
        <v>3.9E-2</v>
      </c>
      <c r="D71" s="467" t="s">
        <v>242</v>
      </c>
      <c r="E71" s="468"/>
      <c r="F71" s="468"/>
      <c r="G71" s="468"/>
      <c r="H71" s="468"/>
      <c r="I71" s="469"/>
      <c r="J71" s="470" t="s">
        <v>314</v>
      </c>
      <c r="K71" s="471"/>
      <c r="L71" s="471"/>
      <c r="M71" s="471"/>
      <c r="N71" s="472"/>
      <c r="O71" s="172" t="s">
        <v>146</v>
      </c>
      <c r="P71" s="169"/>
      <c r="Q71" s="169"/>
      <c r="R71" s="169"/>
      <c r="S71" s="169"/>
    </row>
    <row r="72" spans="1:29" ht="74.25" customHeight="1" x14ac:dyDescent="0.35">
      <c r="B72" s="83" t="s">
        <v>150</v>
      </c>
      <c r="C72" s="285">
        <v>0.31</v>
      </c>
      <c r="D72" s="467" t="s">
        <v>274</v>
      </c>
      <c r="E72" s="468"/>
      <c r="F72" s="468"/>
      <c r="G72" s="468"/>
      <c r="H72" s="468"/>
      <c r="I72" s="469"/>
      <c r="J72" s="470" t="s">
        <v>316</v>
      </c>
      <c r="K72" s="471"/>
      <c r="L72" s="471"/>
      <c r="M72" s="471"/>
      <c r="N72" s="472"/>
      <c r="O72" s="172" t="s">
        <v>144</v>
      </c>
      <c r="P72" s="169"/>
      <c r="Q72" s="169"/>
      <c r="R72" s="169"/>
      <c r="S72" s="169"/>
    </row>
    <row r="73" spans="1:29" ht="79.5" customHeight="1" x14ac:dyDescent="0.35">
      <c r="B73" s="259" t="s">
        <v>148</v>
      </c>
      <c r="C73" s="286">
        <v>8730</v>
      </c>
      <c r="D73" s="467" t="s">
        <v>273</v>
      </c>
      <c r="E73" s="468"/>
      <c r="F73" s="468"/>
      <c r="G73" s="468"/>
      <c r="H73" s="468"/>
      <c r="I73" s="469"/>
      <c r="J73" s="470" t="s">
        <v>315</v>
      </c>
      <c r="K73" s="471"/>
      <c r="L73" s="471"/>
      <c r="M73" s="471"/>
      <c r="N73" s="472"/>
      <c r="O73" s="172" t="s">
        <v>145</v>
      </c>
      <c r="P73" s="169"/>
      <c r="Q73" s="169"/>
      <c r="R73" s="169"/>
      <c r="S73" s="169"/>
    </row>
    <row r="74" spans="1:29" ht="41.25" customHeight="1" x14ac:dyDescent="0.35">
      <c r="B74" s="260" t="s">
        <v>241</v>
      </c>
      <c r="C74" s="287">
        <v>160</v>
      </c>
      <c r="D74" s="465" t="s">
        <v>255</v>
      </c>
      <c r="E74" s="465"/>
      <c r="F74" s="465"/>
      <c r="G74" s="465"/>
      <c r="H74" s="465"/>
      <c r="I74" s="465"/>
      <c r="J74" s="473"/>
      <c r="K74" s="473"/>
      <c r="L74" s="473"/>
      <c r="M74" s="473"/>
      <c r="N74" s="473"/>
      <c r="O74" s="171" t="s">
        <v>239</v>
      </c>
    </row>
    <row r="75" spans="1:29" x14ac:dyDescent="0.35">
      <c r="D75" s="162"/>
      <c r="E75" s="162"/>
      <c r="F75" s="162"/>
      <c r="G75" s="218"/>
      <c r="H75" s="218"/>
      <c r="I75" s="218"/>
      <c r="J75" s="9"/>
    </row>
    <row r="76" spans="1:29" x14ac:dyDescent="0.35">
      <c r="D76" s="162"/>
      <c r="E76" s="162"/>
      <c r="F76" s="162"/>
      <c r="G76" s="218"/>
      <c r="H76" s="218"/>
      <c r="I76" s="218"/>
      <c r="J76" s="9"/>
    </row>
    <row r="77" spans="1:29" x14ac:dyDescent="0.35">
      <c r="D77" s="162"/>
      <c r="E77" s="162"/>
      <c r="F77" s="162"/>
      <c r="G77" s="218"/>
      <c r="H77" s="218"/>
      <c r="I77" s="218"/>
      <c r="J77" s="9"/>
    </row>
    <row r="78" spans="1:29" x14ac:dyDescent="0.35">
      <c r="G78" s="9"/>
      <c r="H78" s="9"/>
      <c r="I78" s="9"/>
      <c r="J78" s="9"/>
    </row>
    <row r="79" spans="1:29" x14ac:dyDescent="0.35">
      <c r="G79" s="9"/>
      <c r="H79" s="9"/>
      <c r="I79" s="9"/>
      <c r="J79" s="9"/>
    </row>
    <row r="80" spans="1:29" x14ac:dyDescent="0.35">
      <c r="G80" s="9"/>
      <c r="H80" s="9"/>
      <c r="I80" s="9"/>
      <c r="J80" s="9"/>
    </row>
    <row r="81" spans="7:10" x14ac:dyDescent="0.35">
      <c r="G81" s="9"/>
      <c r="H81" s="9"/>
      <c r="I81" s="9"/>
      <c r="J81" s="9"/>
    </row>
    <row r="82" spans="7:10" x14ac:dyDescent="0.35">
      <c r="G82" s="9"/>
      <c r="H82" s="9"/>
      <c r="I82" s="9"/>
      <c r="J82" s="9"/>
    </row>
    <row r="83" spans="7:10" x14ac:dyDescent="0.35">
      <c r="G83" s="9"/>
      <c r="H83" s="9"/>
      <c r="I83" s="9"/>
      <c r="J83" s="9"/>
    </row>
    <row r="84" spans="7:10" x14ac:dyDescent="0.35">
      <c r="G84" s="9"/>
      <c r="H84" s="9"/>
      <c r="I84" s="9"/>
      <c r="J84" s="9"/>
    </row>
    <row r="85" spans="7:10" x14ac:dyDescent="0.35">
      <c r="G85" s="9"/>
      <c r="H85" s="9"/>
      <c r="I85" s="9"/>
      <c r="J85" s="9"/>
    </row>
    <row r="86" spans="7:10" x14ac:dyDescent="0.35">
      <c r="G86" s="9"/>
      <c r="H86" s="9"/>
      <c r="I86" s="9"/>
      <c r="J86" s="9"/>
    </row>
    <row r="87" spans="7:10" x14ac:dyDescent="0.35">
      <c r="G87" s="9"/>
      <c r="H87" s="9"/>
      <c r="I87" s="9"/>
      <c r="J87" s="9"/>
    </row>
    <row r="88" spans="7:10" x14ac:dyDescent="0.35">
      <c r="G88" s="9"/>
      <c r="H88" s="9"/>
      <c r="I88" s="9"/>
      <c r="J88" s="9"/>
    </row>
    <row r="89" spans="7:10" x14ac:dyDescent="0.35">
      <c r="G89" s="9"/>
      <c r="H89" s="9"/>
      <c r="I89" s="9"/>
      <c r="J89" s="9"/>
    </row>
    <row r="90" spans="7:10" x14ac:dyDescent="0.35">
      <c r="G90" s="9"/>
      <c r="H90" s="9"/>
      <c r="I90" s="9"/>
      <c r="J90" s="9"/>
    </row>
    <row r="91" spans="7:10" x14ac:dyDescent="0.35">
      <c r="G91" s="9"/>
      <c r="H91" s="9"/>
      <c r="I91" s="9"/>
      <c r="J91" s="9"/>
    </row>
    <row r="92" spans="7:10" x14ac:dyDescent="0.35">
      <c r="G92" s="9"/>
      <c r="H92" s="9"/>
      <c r="I92" s="9"/>
      <c r="J92" s="9"/>
    </row>
    <row r="93" spans="7:10" x14ac:dyDescent="0.35">
      <c r="G93" s="9"/>
      <c r="H93" s="9"/>
      <c r="I93" s="9"/>
      <c r="J93" s="9"/>
    </row>
    <row r="94" spans="7:10" x14ac:dyDescent="0.35">
      <c r="G94" s="9"/>
      <c r="H94" s="9"/>
      <c r="I94" s="9"/>
      <c r="J94" s="9"/>
    </row>
    <row r="95" spans="7:10" x14ac:dyDescent="0.35">
      <c r="G95" s="9"/>
      <c r="H95" s="9"/>
      <c r="I95" s="9"/>
      <c r="J95" s="9"/>
    </row>
    <row r="96" spans="7:10" x14ac:dyDescent="0.35">
      <c r="G96" s="9"/>
      <c r="H96" s="9"/>
      <c r="I96" s="9"/>
      <c r="J96" s="9"/>
    </row>
    <row r="97" spans="7:10" x14ac:dyDescent="0.35">
      <c r="G97" s="9"/>
      <c r="H97" s="9"/>
      <c r="I97" s="9"/>
      <c r="J97" s="9"/>
    </row>
    <row r="98" spans="7:10" x14ac:dyDescent="0.35">
      <c r="G98" s="9"/>
      <c r="H98" s="9"/>
      <c r="I98" s="9"/>
      <c r="J98" s="9"/>
    </row>
    <row r="99" spans="7:10" x14ac:dyDescent="0.35">
      <c r="G99" s="9"/>
      <c r="H99" s="9"/>
      <c r="I99" s="9"/>
      <c r="J99" s="9"/>
    </row>
    <row r="100" spans="7:10" x14ac:dyDescent="0.35">
      <c r="G100" s="9"/>
      <c r="H100" s="9"/>
      <c r="I100" s="9"/>
      <c r="J100" s="9"/>
    </row>
    <row r="101" spans="7:10" x14ac:dyDescent="0.35">
      <c r="G101" s="9"/>
      <c r="H101" s="9"/>
      <c r="I101" s="9"/>
      <c r="J101" s="9"/>
    </row>
    <row r="102" spans="7:10" x14ac:dyDescent="0.35">
      <c r="G102" s="9"/>
      <c r="H102" s="9"/>
      <c r="I102" s="9"/>
      <c r="J102" s="9"/>
    </row>
    <row r="103" spans="7:10" x14ac:dyDescent="0.35">
      <c r="G103" s="9"/>
      <c r="H103" s="9"/>
      <c r="I103" s="9"/>
      <c r="J103" s="9"/>
    </row>
    <row r="104" spans="7:10" x14ac:dyDescent="0.35">
      <c r="G104" s="9"/>
      <c r="H104" s="9"/>
      <c r="I104" s="9"/>
      <c r="J104" s="9"/>
    </row>
    <row r="105" spans="7:10" x14ac:dyDescent="0.35">
      <c r="G105" s="9"/>
      <c r="H105" s="9"/>
      <c r="I105" s="9"/>
      <c r="J105" s="9"/>
    </row>
    <row r="106" spans="7:10" x14ac:dyDescent="0.35">
      <c r="G106" s="9"/>
      <c r="H106" s="9"/>
      <c r="I106" s="9"/>
      <c r="J106" s="9"/>
    </row>
    <row r="107" spans="7:10" x14ac:dyDescent="0.35">
      <c r="G107" s="9"/>
      <c r="H107" s="9"/>
      <c r="I107" s="9"/>
      <c r="J107" s="9"/>
    </row>
    <row r="108" spans="7:10" x14ac:dyDescent="0.35">
      <c r="G108" s="9"/>
      <c r="H108" s="9"/>
      <c r="I108" s="9"/>
      <c r="J108" s="9"/>
    </row>
    <row r="109" spans="7:10" x14ac:dyDescent="0.35">
      <c r="G109" s="9"/>
      <c r="H109" s="9"/>
      <c r="I109" s="9"/>
      <c r="J109" s="9"/>
    </row>
    <row r="110" spans="7:10" x14ac:dyDescent="0.35">
      <c r="G110" s="9"/>
      <c r="H110" s="9"/>
      <c r="I110" s="9"/>
      <c r="J110" s="9"/>
    </row>
    <row r="111" spans="7:10" x14ac:dyDescent="0.35">
      <c r="G111" s="9"/>
      <c r="H111" s="9"/>
      <c r="I111" s="9"/>
      <c r="J111" s="9"/>
    </row>
    <row r="112" spans="7:10" x14ac:dyDescent="0.35">
      <c r="G112" s="9"/>
      <c r="H112" s="9"/>
      <c r="I112" s="9"/>
      <c r="J112" s="9"/>
    </row>
    <row r="113" spans="7:10" x14ac:dyDescent="0.35">
      <c r="G113" s="9"/>
      <c r="H113" s="9"/>
      <c r="I113" s="9"/>
      <c r="J113" s="9"/>
    </row>
    <row r="114" spans="7:10" x14ac:dyDescent="0.35">
      <c r="G114" s="9"/>
      <c r="H114" s="9"/>
      <c r="I114" s="9"/>
      <c r="J114" s="9"/>
    </row>
    <row r="115" spans="7:10" x14ac:dyDescent="0.35">
      <c r="G115" s="9"/>
      <c r="H115" s="9"/>
      <c r="I115" s="9"/>
      <c r="J115" s="9"/>
    </row>
    <row r="116" spans="7:10" x14ac:dyDescent="0.35">
      <c r="G116" s="9"/>
      <c r="H116" s="9"/>
      <c r="I116" s="9"/>
      <c r="J116" s="9"/>
    </row>
    <row r="117" spans="7:10" x14ac:dyDescent="0.35">
      <c r="G117" s="9"/>
      <c r="H117" s="9"/>
      <c r="I117" s="9"/>
      <c r="J117" s="9"/>
    </row>
    <row r="118" spans="7:10" x14ac:dyDescent="0.35">
      <c r="G118" s="9"/>
      <c r="H118" s="9"/>
      <c r="I118" s="9"/>
      <c r="J118" s="9"/>
    </row>
    <row r="119" spans="7:10" x14ac:dyDescent="0.35">
      <c r="G119" s="9"/>
      <c r="H119" s="9"/>
      <c r="I119" s="9"/>
      <c r="J119" s="9"/>
    </row>
    <row r="120" spans="7:10" x14ac:dyDescent="0.35">
      <c r="G120" s="9"/>
      <c r="H120" s="9"/>
      <c r="I120" s="9"/>
      <c r="J120" s="9"/>
    </row>
    <row r="121" spans="7:10" x14ac:dyDescent="0.35">
      <c r="G121" s="9"/>
      <c r="H121" s="9"/>
      <c r="I121" s="9"/>
      <c r="J121" s="9"/>
    </row>
    <row r="122" spans="7:10" x14ac:dyDescent="0.35">
      <c r="G122" s="9"/>
      <c r="H122" s="9"/>
      <c r="I122" s="9"/>
      <c r="J122" s="9"/>
    </row>
    <row r="123" spans="7:10" x14ac:dyDescent="0.35">
      <c r="G123" s="9"/>
      <c r="H123" s="9"/>
      <c r="I123" s="9"/>
      <c r="J123" s="9"/>
    </row>
    <row r="124" spans="7:10" x14ac:dyDescent="0.35">
      <c r="G124" s="9"/>
      <c r="H124" s="9"/>
      <c r="I124" s="9"/>
      <c r="J124" s="9"/>
    </row>
    <row r="125" spans="7:10" x14ac:dyDescent="0.35">
      <c r="G125" s="9"/>
      <c r="H125" s="9"/>
      <c r="I125" s="9"/>
      <c r="J125" s="9"/>
    </row>
    <row r="126" spans="7:10" x14ac:dyDescent="0.35">
      <c r="G126" s="9"/>
      <c r="H126" s="9"/>
      <c r="I126" s="9"/>
      <c r="J126" s="9"/>
    </row>
    <row r="127" spans="7:10" x14ac:dyDescent="0.35">
      <c r="G127" s="9"/>
      <c r="H127" s="9"/>
      <c r="I127" s="9"/>
      <c r="J127" s="9"/>
    </row>
    <row r="128" spans="7:10" x14ac:dyDescent="0.35">
      <c r="G128" s="9"/>
      <c r="H128" s="9"/>
      <c r="I128" s="9"/>
      <c r="J128" s="9"/>
    </row>
    <row r="129" spans="7:10" x14ac:dyDescent="0.35">
      <c r="G129" s="9"/>
      <c r="H129" s="9"/>
      <c r="I129" s="9"/>
      <c r="J129" s="9"/>
    </row>
    <row r="130" spans="7:10" x14ac:dyDescent="0.35">
      <c r="G130" s="9"/>
      <c r="H130" s="9"/>
      <c r="I130" s="9"/>
      <c r="J130" s="9"/>
    </row>
    <row r="131" spans="7:10" x14ac:dyDescent="0.35">
      <c r="G131" s="9"/>
      <c r="H131" s="9"/>
      <c r="I131" s="9"/>
      <c r="J131" s="9"/>
    </row>
    <row r="132" spans="7:10" x14ac:dyDescent="0.35">
      <c r="G132" s="9"/>
      <c r="H132" s="9"/>
      <c r="I132" s="9"/>
      <c r="J132" s="9"/>
    </row>
    <row r="133" spans="7:10" x14ac:dyDescent="0.35">
      <c r="G133" s="9"/>
      <c r="H133" s="9"/>
      <c r="I133" s="9"/>
      <c r="J133" s="9"/>
    </row>
    <row r="134" spans="7:10" x14ac:dyDescent="0.35">
      <c r="G134" s="9"/>
      <c r="H134" s="9"/>
      <c r="I134" s="9"/>
      <c r="J134" s="9"/>
    </row>
    <row r="135" spans="7:10" x14ac:dyDescent="0.35">
      <c r="G135" s="9"/>
      <c r="H135" s="9"/>
      <c r="I135" s="9"/>
      <c r="J135" s="9"/>
    </row>
    <row r="136" spans="7:10" x14ac:dyDescent="0.35">
      <c r="G136" s="9"/>
      <c r="H136" s="9"/>
      <c r="I136" s="9"/>
      <c r="J136" s="9"/>
    </row>
    <row r="137" spans="7:10" x14ac:dyDescent="0.35">
      <c r="G137" s="9"/>
      <c r="H137" s="9"/>
      <c r="I137" s="9"/>
      <c r="J137" s="9"/>
    </row>
    <row r="138" spans="7:10" x14ac:dyDescent="0.35">
      <c r="G138" s="9"/>
      <c r="H138" s="9"/>
      <c r="I138" s="9"/>
      <c r="J138" s="9"/>
    </row>
    <row r="139" spans="7:10" x14ac:dyDescent="0.35">
      <c r="G139" s="9"/>
      <c r="H139" s="9"/>
      <c r="I139" s="9"/>
      <c r="J139" s="9"/>
    </row>
    <row r="140" spans="7:10" x14ac:dyDescent="0.35">
      <c r="G140" s="9"/>
      <c r="H140" s="9"/>
      <c r="I140" s="9"/>
      <c r="J140" s="9"/>
    </row>
    <row r="141" spans="7:10" x14ac:dyDescent="0.35">
      <c r="G141" s="9"/>
      <c r="H141" s="9"/>
      <c r="I141" s="9"/>
      <c r="J141" s="9"/>
    </row>
    <row r="142" spans="7:10" x14ac:dyDescent="0.35">
      <c r="G142" s="9"/>
      <c r="H142" s="9"/>
      <c r="I142" s="9"/>
      <c r="J142" s="9"/>
    </row>
    <row r="143" spans="7:10" x14ac:dyDescent="0.35">
      <c r="G143" s="9"/>
      <c r="H143" s="9"/>
      <c r="I143" s="9"/>
      <c r="J143" s="9"/>
    </row>
    <row r="144" spans="7:10" x14ac:dyDescent="0.35">
      <c r="G144" s="9"/>
      <c r="H144" s="9"/>
      <c r="I144" s="9"/>
      <c r="J144" s="9"/>
    </row>
    <row r="145" spans="7:10" x14ac:dyDescent="0.35">
      <c r="G145" s="9"/>
      <c r="H145" s="9"/>
      <c r="I145" s="9"/>
      <c r="J145" s="9"/>
    </row>
    <row r="146" spans="7:10" x14ac:dyDescent="0.35">
      <c r="G146" s="9"/>
      <c r="H146" s="9"/>
      <c r="I146" s="9"/>
      <c r="J146" s="9"/>
    </row>
    <row r="147" spans="7:10" x14ac:dyDescent="0.35">
      <c r="G147" s="9"/>
      <c r="H147" s="9"/>
      <c r="I147" s="9"/>
      <c r="J147" s="9"/>
    </row>
    <row r="148" spans="7:10" x14ac:dyDescent="0.35">
      <c r="G148" s="9"/>
      <c r="H148" s="9"/>
      <c r="I148" s="9"/>
      <c r="J148" s="9"/>
    </row>
    <row r="149" spans="7:10" x14ac:dyDescent="0.35">
      <c r="G149" s="9"/>
      <c r="H149" s="9"/>
      <c r="I149" s="9"/>
      <c r="J149" s="9"/>
    </row>
    <row r="150" spans="7:10" x14ac:dyDescent="0.35">
      <c r="G150" s="9"/>
      <c r="H150" s="9"/>
      <c r="I150" s="9"/>
      <c r="J150" s="9"/>
    </row>
    <row r="151" spans="7:10" x14ac:dyDescent="0.35">
      <c r="G151" s="9"/>
      <c r="H151" s="9"/>
      <c r="I151" s="9"/>
      <c r="J151" s="9"/>
    </row>
    <row r="152" spans="7:10" x14ac:dyDescent="0.35">
      <c r="G152" s="9"/>
      <c r="H152" s="9"/>
      <c r="I152" s="9"/>
      <c r="J152" s="9"/>
    </row>
    <row r="153" spans="7:10" x14ac:dyDescent="0.35">
      <c r="G153" s="9"/>
      <c r="H153" s="9"/>
      <c r="I153" s="9"/>
      <c r="J153" s="9"/>
    </row>
    <row r="154" spans="7:10" x14ac:dyDescent="0.35">
      <c r="G154" s="9"/>
      <c r="H154" s="9"/>
      <c r="I154" s="9"/>
      <c r="J154" s="9"/>
    </row>
    <row r="155" spans="7:10" x14ac:dyDescent="0.35">
      <c r="G155" s="9"/>
      <c r="H155" s="9"/>
      <c r="I155" s="9"/>
      <c r="J155" s="9"/>
    </row>
    <row r="156" spans="7:10" x14ac:dyDescent="0.35">
      <c r="G156" s="9"/>
      <c r="H156" s="9"/>
      <c r="I156" s="9"/>
      <c r="J156" s="9"/>
    </row>
    <row r="157" spans="7:10" x14ac:dyDescent="0.35">
      <c r="G157" s="9"/>
      <c r="H157" s="9"/>
      <c r="I157" s="9"/>
      <c r="J157" s="9"/>
    </row>
    <row r="158" spans="7:10" x14ac:dyDescent="0.35">
      <c r="G158" s="9"/>
      <c r="H158" s="9"/>
      <c r="I158" s="9"/>
      <c r="J158" s="9"/>
    </row>
    <row r="159" spans="7:10" x14ac:dyDescent="0.35">
      <c r="G159" s="9"/>
      <c r="H159" s="9"/>
      <c r="I159" s="9"/>
      <c r="J159" s="9"/>
    </row>
    <row r="160" spans="7:10" x14ac:dyDescent="0.35">
      <c r="G160" s="9"/>
      <c r="H160" s="9"/>
      <c r="I160" s="9"/>
      <c r="J160" s="9"/>
    </row>
    <row r="161" spans="7:10" x14ac:dyDescent="0.35">
      <c r="G161" s="9"/>
      <c r="H161" s="9"/>
      <c r="I161" s="9"/>
      <c r="J161" s="9"/>
    </row>
    <row r="162" spans="7:10" x14ac:dyDescent="0.35">
      <c r="G162" s="9"/>
      <c r="H162" s="9"/>
      <c r="I162" s="9"/>
      <c r="J162" s="9"/>
    </row>
    <row r="163" spans="7:10" x14ac:dyDescent="0.35">
      <c r="G163" s="9"/>
      <c r="H163" s="9"/>
      <c r="I163" s="9"/>
      <c r="J163" s="9"/>
    </row>
    <row r="164" spans="7:10" x14ac:dyDescent="0.35">
      <c r="G164" s="9"/>
      <c r="H164" s="9"/>
      <c r="I164" s="9"/>
      <c r="J164" s="9"/>
    </row>
    <row r="165" spans="7:10" x14ac:dyDescent="0.35">
      <c r="G165" s="9"/>
      <c r="H165" s="9"/>
      <c r="I165" s="9"/>
      <c r="J165" s="9"/>
    </row>
    <row r="166" spans="7:10" x14ac:dyDescent="0.35">
      <c r="G166" s="9"/>
      <c r="H166" s="9"/>
      <c r="I166" s="9"/>
      <c r="J166" s="9"/>
    </row>
    <row r="167" spans="7:10" x14ac:dyDescent="0.35">
      <c r="G167" s="9"/>
      <c r="H167" s="9"/>
      <c r="I167" s="9"/>
      <c r="J167" s="9"/>
    </row>
    <row r="168" spans="7:10" x14ac:dyDescent="0.35">
      <c r="G168" s="9"/>
      <c r="H168" s="9"/>
      <c r="I168" s="9"/>
      <c r="J168" s="9"/>
    </row>
    <row r="169" spans="7:10" x14ac:dyDescent="0.35">
      <c r="G169" s="9"/>
      <c r="H169" s="9"/>
      <c r="I169" s="9"/>
      <c r="J169" s="9"/>
    </row>
    <row r="170" spans="7:10" x14ac:dyDescent="0.35">
      <c r="G170" s="9"/>
      <c r="H170" s="9"/>
      <c r="I170" s="9"/>
      <c r="J170" s="9"/>
    </row>
    <row r="171" spans="7:10" x14ac:dyDescent="0.35">
      <c r="G171" s="9"/>
      <c r="H171" s="9"/>
      <c r="I171" s="9"/>
      <c r="J171" s="9"/>
    </row>
    <row r="172" spans="7:10" x14ac:dyDescent="0.35">
      <c r="G172" s="9"/>
      <c r="H172" s="9"/>
      <c r="I172" s="9"/>
      <c r="J172" s="9"/>
    </row>
    <row r="173" spans="7:10" x14ac:dyDescent="0.35">
      <c r="G173" s="9"/>
      <c r="H173" s="9"/>
      <c r="I173" s="9"/>
      <c r="J173" s="9"/>
    </row>
    <row r="174" spans="7:10" x14ac:dyDescent="0.35">
      <c r="G174" s="9"/>
      <c r="H174" s="9"/>
      <c r="I174" s="9"/>
      <c r="J174" s="9"/>
    </row>
    <row r="175" spans="7:10" x14ac:dyDescent="0.35">
      <c r="G175" s="9"/>
      <c r="H175" s="9"/>
      <c r="I175" s="9"/>
      <c r="J175" s="9"/>
    </row>
    <row r="176" spans="7:10" x14ac:dyDescent="0.35">
      <c r="G176" s="9"/>
      <c r="H176" s="9"/>
      <c r="I176" s="9"/>
      <c r="J176" s="9"/>
    </row>
    <row r="177" spans="7:10" x14ac:dyDescent="0.35">
      <c r="G177" s="9"/>
      <c r="H177" s="9"/>
      <c r="I177" s="9"/>
      <c r="J177" s="9"/>
    </row>
    <row r="178" spans="7:10" x14ac:dyDescent="0.35">
      <c r="G178" s="9"/>
      <c r="H178" s="9"/>
      <c r="I178" s="9"/>
      <c r="J178" s="9"/>
    </row>
    <row r="179" spans="7:10" x14ac:dyDescent="0.35">
      <c r="G179" s="9"/>
      <c r="H179" s="9"/>
      <c r="I179" s="9"/>
      <c r="J179" s="9"/>
    </row>
    <row r="180" spans="7:10" x14ac:dyDescent="0.35">
      <c r="G180" s="9"/>
      <c r="H180" s="9"/>
      <c r="I180" s="9"/>
      <c r="J180" s="9"/>
    </row>
    <row r="181" spans="7:10" x14ac:dyDescent="0.35">
      <c r="G181" s="9"/>
      <c r="H181" s="9"/>
      <c r="I181" s="9"/>
      <c r="J181" s="9"/>
    </row>
    <row r="182" spans="7:10" x14ac:dyDescent="0.35">
      <c r="G182" s="9"/>
      <c r="H182" s="9"/>
      <c r="I182" s="9"/>
      <c r="J182" s="9"/>
    </row>
    <row r="183" spans="7:10" x14ac:dyDescent="0.35">
      <c r="G183" s="9"/>
      <c r="H183" s="9"/>
      <c r="I183" s="9"/>
      <c r="J183" s="9"/>
    </row>
    <row r="184" spans="7:10" x14ac:dyDescent="0.35">
      <c r="G184" s="9"/>
      <c r="H184" s="9"/>
      <c r="I184" s="9"/>
      <c r="J184" s="9"/>
    </row>
    <row r="185" spans="7:10" x14ac:dyDescent="0.35">
      <c r="G185" s="9"/>
      <c r="H185" s="9"/>
      <c r="I185" s="9"/>
      <c r="J185" s="9"/>
    </row>
    <row r="186" spans="7:10" x14ac:dyDescent="0.35">
      <c r="G186" s="9"/>
      <c r="H186" s="9"/>
      <c r="I186" s="9"/>
      <c r="J186" s="9"/>
    </row>
    <row r="187" spans="7:10" x14ac:dyDescent="0.35">
      <c r="G187" s="9"/>
      <c r="H187" s="9"/>
      <c r="I187" s="9"/>
      <c r="J187" s="9"/>
    </row>
    <row r="188" spans="7:10" x14ac:dyDescent="0.35">
      <c r="G188" s="9"/>
      <c r="H188" s="9"/>
      <c r="I188" s="9"/>
      <c r="J188" s="9"/>
    </row>
    <row r="189" spans="7:10" x14ac:dyDescent="0.35">
      <c r="G189" s="9"/>
      <c r="H189" s="9"/>
      <c r="I189" s="9"/>
      <c r="J189" s="9"/>
    </row>
    <row r="190" spans="7:10" x14ac:dyDescent="0.35">
      <c r="G190" s="9"/>
      <c r="H190" s="9"/>
      <c r="I190" s="9"/>
      <c r="J190" s="9"/>
    </row>
    <row r="191" spans="7:10" x14ac:dyDescent="0.35">
      <c r="G191" s="9"/>
      <c r="H191" s="9"/>
      <c r="I191" s="9"/>
      <c r="J191" s="9"/>
    </row>
    <row r="192" spans="7:10" x14ac:dyDescent="0.35">
      <c r="G192" s="9"/>
      <c r="H192" s="9"/>
      <c r="I192" s="9"/>
      <c r="J192" s="9"/>
    </row>
    <row r="193" spans="7:10" x14ac:dyDescent="0.35">
      <c r="G193" s="9"/>
      <c r="H193" s="9"/>
      <c r="I193" s="9"/>
      <c r="J193" s="9"/>
    </row>
    <row r="194" spans="7:10" x14ac:dyDescent="0.35">
      <c r="G194" s="9"/>
      <c r="H194" s="9"/>
      <c r="I194" s="9"/>
      <c r="J194" s="9"/>
    </row>
    <row r="195" spans="7:10" x14ac:dyDescent="0.35">
      <c r="G195" s="9"/>
      <c r="H195" s="9"/>
      <c r="I195" s="9"/>
      <c r="J195" s="9"/>
    </row>
    <row r="196" spans="7:10" x14ac:dyDescent="0.35">
      <c r="G196" s="9"/>
      <c r="H196" s="9"/>
      <c r="I196" s="9"/>
      <c r="J196" s="9"/>
    </row>
    <row r="197" spans="7:10" x14ac:dyDescent="0.35">
      <c r="G197" s="9"/>
      <c r="H197" s="9"/>
      <c r="I197" s="9"/>
      <c r="J197" s="9"/>
    </row>
    <row r="198" spans="7:10" x14ac:dyDescent="0.35">
      <c r="G198" s="9"/>
      <c r="H198" s="9"/>
      <c r="I198" s="9"/>
      <c r="J198" s="9"/>
    </row>
    <row r="199" spans="7:10" x14ac:dyDescent="0.35">
      <c r="G199" s="9"/>
      <c r="H199" s="9"/>
      <c r="I199" s="9"/>
      <c r="J199" s="9"/>
    </row>
    <row r="200" spans="7:10" x14ac:dyDescent="0.35">
      <c r="G200" s="9"/>
      <c r="H200" s="9"/>
      <c r="I200" s="9"/>
      <c r="J200" s="9"/>
    </row>
    <row r="201" spans="7:10" x14ac:dyDescent="0.35">
      <c r="G201" s="9"/>
      <c r="H201" s="9"/>
      <c r="I201" s="9"/>
      <c r="J201" s="9"/>
    </row>
    <row r="202" spans="7:10" x14ac:dyDescent="0.35">
      <c r="G202" s="9"/>
      <c r="H202" s="9"/>
      <c r="I202" s="9"/>
      <c r="J202" s="9"/>
    </row>
    <row r="203" spans="7:10" x14ac:dyDescent="0.35">
      <c r="G203" s="9"/>
      <c r="H203" s="9"/>
      <c r="I203" s="9"/>
      <c r="J203" s="9"/>
    </row>
    <row r="204" spans="7:10" x14ac:dyDescent="0.35">
      <c r="G204" s="9"/>
      <c r="H204" s="9"/>
      <c r="I204" s="9"/>
      <c r="J204" s="9"/>
    </row>
    <row r="205" spans="7:10" x14ac:dyDescent="0.35">
      <c r="G205" s="9"/>
      <c r="H205" s="9"/>
      <c r="I205" s="9"/>
      <c r="J205" s="9"/>
    </row>
    <row r="206" spans="7:10" x14ac:dyDescent="0.35">
      <c r="G206" s="9"/>
      <c r="H206" s="9"/>
      <c r="I206" s="9"/>
      <c r="J206" s="9"/>
    </row>
    <row r="207" spans="7:10" x14ac:dyDescent="0.35">
      <c r="G207" s="9"/>
      <c r="H207" s="9"/>
      <c r="I207" s="9"/>
      <c r="J207" s="9"/>
    </row>
    <row r="208" spans="7:10" x14ac:dyDescent="0.35">
      <c r="G208" s="9"/>
      <c r="H208" s="9"/>
      <c r="I208" s="9"/>
      <c r="J208" s="9"/>
    </row>
    <row r="209" spans="7:10" x14ac:dyDescent="0.35">
      <c r="G209" s="9"/>
      <c r="H209" s="9"/>
      <c r="I209" s="9"/>
      <c r="J209" s="9"/>
    </row>
    <row r="210" spans="7:10" x14ac:dyDescent="0.35">
      <c r="G210" s="9"/>
      <c r="H210" s="9"/>
      <c r="I210" s="9"/>
      <c r="J210" s="9"/>
    </row>
    <row r="211" spans="7:10" x14ac:dyDescent="0.35">
      <c r="G211" s="9"/>
      <c r="H211" s="9"/>
      <c r="I211" s="9"/>
      <c r="J211" s="9"/>
    </row>
    <row r="212" spans="7:10" x14ac:dyDescent="0.35">
      <c r="G212" s="9"/>
      <c r="H212" s="9"/>
      <c r="I212" s="9"/>
      <c r="J212" s="9"/>
    </row>
    <row r="213" spans="7:10" x14ac:dyDescent="0.35">
      <c r="G213" s="9"/>
      <c r="H213" s="9"/>
      <c r="I213" s="9"/>
      <c r="J213" s="9"/>
    </row>
    <row r="214" spans="7:10" x14ac:dyDescent="0.35">
      <c r="G214" s="9"/>
      <c r="H214" s="9"/>
      <c r="I214" s="9"/>
      <c r="J214" s="9"/>
    </row>
    <row r="215" spans="7:10" x14ac:dyDescent="0.35">
      <c r="G215" s="9"/>
      <c r="H215" s="9"/>
      <c r="I215" s="9"/>
      <c r="J215" s="9"/>
    </row>
    <row r="216" spans="7:10" x14ac:dyDescent="0.35">
      <c r="G216" s="9"/>
      <c r="H216" s="9"/>
      <c r="I216" s="9"/>
      <c r="J216" s="9"/>
    </row>
    <row r="217" spans="7:10" x14ac:dyDescent="0.35">
      <c r="G217" s="9"/>
      <c r="H217" s="9"/>
      <c r="I217" s="9"/>
      <c r="J217" s="9"/>
    </row>
    <row r="218" spans="7:10" x14ac:dyDescent="0.35">
      <c r="G218" s="9"/>
      <c r="H218" s="9"/>
      <c r="I218" s="9"/>
      <c r="J218" s="9"/>
    </row>
    <row r="219" spans="7:10" x14ac:dyDescent="0.35">
      <c r="G219" s="9"/>
      <c r="H219" s="9"/>
      <c r="I219" s="9"/>
      <c r="J219" s="9"/>
    </row>
    <row r="220" spans="7:10" x14ac:dyDescent="0.35">
      <c r="G220" s="9"/>
      <c r="H220" s="9"/>
      <c r="I220" s="9"/>
      <c r="J220" s="9"/>
    </row>
  </sheetData>
  <sheetProtection formatCells="0"/>
  <dataConsolidate/>
  <mergeCells count="49">
    <mergeCell ref="I58:N58"/>
    <mergeCell ref="D74:I74"/>
    <mergeCell ref="D69:I69"/>
    <mergeCell ref="D70:I70"/>
    <mergeCell ref="D71:I71"/>
    <mergeCell ref="J71:N71"/>
    <mergeCell ref="J72:N72"/>
    <mergeCell ref="J73:N73"/>
    <mergeCell ref="J74:N74"/>
    <mergeCell ref="D72:I72"/>
    <mergeCell ref="D73:I73"/>
    <mergeCell ref="J69:N69"/>
    <mergeCell ref="J70:N70"/>
    <mergeCell ref="B60:H60"/>
    <mergeCell ref="I59:N59"/>
    <mergeCell ref="A1:N1"/>
    <mergeCell ref="A3:N3"/>
    <mergeCell ref="J17:L17"/>
    <mergeCell ref="G19:H19"/>
    <mergeCell ref="G20:H20"/>
    <mergeCell ref="F12:H12"/>
    <mergeCell ref="J12:K12"/>
    <mergeCell ref="A7:C7"/>
    <mergeCell ref="A6:C6"/>
    <mergeCell ref="G18:H18"/>
    <mergeCell ref="B13:D13"/>
    <mergeCell ref="F15:N15"/>
    <mergeCell ref="G16:M16"/>
    <mergeCell ref="G13:L13"/>
    <mergeCell ref="E7:I7"/>
    <mergeCell ref="H35:J35"/>
    <mergeCell ref="H36:J36"/>
    <mergeCell ref="L35:N35"/>
    <mergeCell ref="L36:N36"/>
    <mergeCell ref="G21:H21"/>
    <mergeCell ref="G23:J23"/>
    <mergeCell ref="L25:N25"/>
    <mergeCell ref="F25:K25"/>
    <mergeCell ref="F26:K26"/>
    <mergeCell ref="E38:I38"/>
    <mergeCell ref="I55:N55"/>
    <mergeCell ref="I56:N56"/>
    <mergeCell ref="I57:N57"/>
    <mergeCell ref="L37:N37"/>
    <mergeCell ref="L39:N39"/>
    <mergeCell ref="L40:N40"/>
    <mergeCell ref="H40:J40"/>
    <mergeCell ref="E41:I43"/>
    <mergeCell ref="D57:H57"/>
  </mergeCells>
  <dataValidations xWindow="1386" yWindow="459" count="16">
    <dataValidation type="decimal" errorStyle="warning" allowBlank="1" showInputMessage="1" showErrorMessage="1" error="The value you entered is outside the expected range. The sulfur content is typically between 0.05 and 10% by weight. " sqref="I12">
      <formula1>0</formula1>
      <formula2>10</formula2>
    </dataValidation>
    <dataValidation errorStyle="warning" allowBlank="1" showInputMessage="1" showErrorMessage="1" error="The cost estimates calculated using this spreadsheet apply to utility boilers greater than 25 MWh and industrial boilers greater than or equal to 250 MMBtu/hour." prompt="Values should be greater than 25 MWh for utility boilers and greater than 250 MMBtu/hour for industrial boilers." sqref="C10"/>
    <dataValidation type="whole" allowBlank="1" showInputMessage="1" showErrorMessage="1" error="Value should be less than 365 days " sqref="C31:C32">
      <formula1>0</formula1>
      <formula2>365</formula2>
    </dataValidation>
    <dataValidation type="whole" operator="greaterThanOrEqual" allowBlank="1" showInputMessage="1" showErrorMessage="1" error="Year must be 2012 or later" sqref="C52">
      <formula1>2012</formula1>
    </dataValidation>
    <dataValidation type="decimal" errorStyle="warning" allowBlank="1" showInputMessage="1" showErrorMessage="1" error="Value entered is outside the typical range. Electricity costs are usually between $0.02 to $0.35/kWh." sqref="C56">
      <formula1>0.02</formula1>
      <formula2>0.35</formula2>
    </dataValidation>
    <dataValidation type="whole" errorStyle="warning" allowBlank="1" showInputMessage="1" showErrorMessage="1" error="Please check the value you entered. the number of days of reagent storage is typically less than 365 days." sqref="C43">
      <formula1>0</formula1>
      <formula2>365</formula2>
    </dataValidation>
    <dataValidation type="decimal" allowBlank="1" showInputMessage="1" showErrorMessage="1" error="You must enter a value between 0 and 1" sqref="I19:I21">
      <formula1>0</formula1>
      <formula2>1</formula2>
    </dataValidation>
    <dataValidation type="decimal" allowBlank="1" showInputMessage="1" showErrorMessage="1" error="Value must be between 0 and 100 percent." sqref="C41">
      <formula1>0</formula1>
      <formula2>100</formula2>
    </dataValidation>
    <dataValidation type="decimal" errorStyle="warning" allowBlank="1" showInputMessage="1" showErrorMessage="1" error="The typical equipment life for an SNCR is between 10 and 30 years." sqref="C39">
      <formula1>10</formula1>
      <formula2>30</formula2>
    </dataValidation>
    <dataValidation type="custom" allowBlank="1" showInputMessage="1" showErrorMessage="1" error="NOx removal efficiency must be between 0 and 100 percent. If you do not know the removal efficiency, enter &quot;UNK&quot; and an estimated efficiency will be calculated for you." sqref="C34">
      <formula1>OR(C34="UNK", (AND(C34&gt;0, C34&lt;100.1)))</formula1>
    </dataValidation>
    <dataValidation type="decimal" errorStyle="warning" allowBlank="1" showInputMessage="1" showErrorMessage="1" error="The percent sulfur content by weight is outside the expected range. %S by weight is typically between 0.05 and 10%." sqref="J19:J21">
      <formula1>0.05</formula1>
      <formula2>10</formula2>
    </dataValidation>
    <dataValidation type="whole" errorStyle="warning" allowBlank="1" showInputMessage="1" showErrorMessage="1" error="HHV for bituminous coal is outside the expected range. The HHV for bituminous coal is typically between 8,500 and 12,600 Btu/lb." sqref="K19">
      <formula1>8500</formula1>
      <formula2>12600</formula2>
    </dataValidation>
    <dataValidation type="whole" errorStyle="warning" allowBlank="1" showInputMessage="1" showErrorMessage="1" error="The HHV for sub-bituminous coal is outside the expected range. The HHV for sub-bituminous coal is typically between 8,300 and 9,300 Btu/lb." sqref="K20">
      <formula1>8300</formula1>
      <formula2>9300</formula2>
    </dataValidation>
    <dataValidation type="whole" errorStyle="warning" allowBlank="1" showInputMessage="1" showErrorMessage="1" error="The HHV for lignite is outside the expected range. The HHV for lignite is typically between 5,000 and 7,000 Btu/lb." sqref="K21">
      <formula1>5000</formula1>
      <formula2>7000</formula2>
    </dataValidation>
    <dataValidation type="decimal" errorStyle="warning" allowBlank="1" showInputMessage="1" showErrorMessage="1" error="Please check the values you entered. The NSR is typically between 0.5 and 3." sqref="C35">
      <formula1>0</formula1>
      <formula2>3</formula2>
    </dataValidation>
    <dataValidation type="decimal" operator="greaterThan" allowBlank="1" showInputMessage="1" showErrorMessage="1" error="The retrofit factor you entered is outside the expected range. The value must be greater than 0.8. A  retrofit factor 1 should be used for retrofits of average difficulty. " sqref="D7">
      <formula1>0.8</formula1>
    </dataValidation>
  </dataValidations>
  <pageMargins left="0.25" right="0.25" top="0.75" bottom="0.75" header="0.3" footer="0.3"/>
  <pageSetup scale="50" fitToHeight="2" orientation="portrait" cellComments="asDisplayed" r:id="rId1"/>
  <rowBreaks count="2" manualBreakCount="2">
    <brk id="28" max="13" man="1"/>
    <brk id="6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locked="0" defaultSize="0" autoLine="0" autoPict="0" macro="[0]!UtilityORIndustrial">
                <anchor moveWithCells="1">
                  <from>
                    <xdr:col>1</xdr:col>
                    <xdr:colOff>3403600</xdr:colOff>
                    <xdr:row>3</xdr:row>
                    <xdr:rowOff>171450</xdr:rowOff>
                  </from>
                  <to>
                    <xdr:col>2</xdr:col>
                    <xdr:colOff>609600</xdr:colOff>
                    <xdr:row>3</xdr:row>
                    <xdr:rowOff>400050</xdr:rowOff>
                  </to>
                </anchor>
              </controlPr>
            </control>
          </mc:Choice>
        </mc:AlternateContent>
        <mc:AlternateContent xmlns:mc="http://schemas.openxmlformats.org/markup-compatibility/2006">
          <mc:Choice Requires="x14">
            <control shapeId="10271" r:id="rId5" name="Drop Down 31">
              <controlPr locked="0" defaultSize="0" autoLine="0" autoPict="0" macro="[0]!ChangeCoalBlock">
                <anchor moveWithCells="1">
                  <from>
                    <xdr:col>8</xdr:col>
                    <xdr:colOff>609600</xdr:colOff>
                    <xdr:row>3</xdr:row>
                    <xdr:rowOff>209550</xdr:rowOff>
                  </from>
                  <to>
                    <xdr:col>9</xdr:col>
                    <xdr:colOff>895350</xdr:colOff>
                    <xdr:row>4</xdr:row>
                    <xdr:rowOff>19050</xdr:rowOff>
                  </to>
                </anchor>
              </controlPr>
            </control>
          </mc:Choice>
        </mc:AlternateContent>
        <mc:AlternateContent xmlns:mc="http://schemas.openxmlformats.org/markup-compatibility/2006">
          <mc:Choice Requires="x14">
            <control shapeId="10275" r:id="rId6" name="Drop Down 35">
              <controlPr locked="0" defaultSize="0" autoLine="0" autoPict="0" macro="[0]!Coal_Type_Change">
                <anchor moveWithCells="1">
                  <from>
                    <xdr:col>7</xdr:col>
                    <xdr:colOff>736600</xdr:colOff>
                    <xdr:row>9</xdr:row>
                    <xdr:rowOff>76200</xdr:rowOff>
                  </from>
                  <to>
                    <xdr:col>9</xdr:col>
                    <xdr:colOff>152400</xdr:colOff>
                    <xdr:row>10</xdr:row>
                    <xdr:rowOff>19050</xdr:rowOff>
                  </to>
                </anchor>
              </controlPr>
            </control>
          </mc:Choice>
        </mc:AlternateContent>
        <mc:AlternateContent xmlns:mc="http://schemas.openxmlformats.org/markup-compatibility/2006">
          <mc:Choice Requires="x14">
            <control shapeId="10276" r:id="rId7" name="Button 36">
              <controlPr locked="0" defaultSize="0" print="0" autoFill="0" autoPict="0" macro="[0]!Reset_Button" altText="Click to Reset Form">
                <anchor moveWithCells="1">
                  <from>
                    <xdr:col>10</xdr:col>
                    <xdr:colOff>571500</xdr:colOff>
                    <xdr:row>5</xdr:row>
                    <xdr:rowOff>127000</xdr:rowOff>
                  </from>
                  <to>
                    <xdr:col>12</xdr:col>
                    <xdr:colOff>50800</xdr:colOff>
                    <xdr:row>6</xdr:row>
                    <xdr:rowOff>279400</xdr:rowOff>
                  </to>
                </anchor>
              </controlPr>
            </control>
          </mc:Choice>
        </mc:AlternateContent>
        <mc:AlternateContent xmlns:mc="http://schemas.openxmlformats.org/markup-compatibility/2006">
          <mc:Choice Requires="x14">
            <control shapeId="10280" r:id="rId8" name="Button 40">
              <controlPr defaultSize="0" print="0" autoFill="0" autoPict="0" macro="[0]!Coal_Blend">
                <anchor moveWithCells="1" sizeWithCells="1">
                  <from>
                    <xdr:col>10</xdr:col>
                    <xdr:colOff>488950</xdr:colOff>
                    <xdr:row>22</xdr:row>
                    <xdr:rowOff>12700</xdr:rowOff>
                  </from>
                  <to>
                    <xdr:col>11</xdr:col>
                    <xdr:colOff>717550</xdr:colOff>
                    <xdr:row>22</xdr:row>
                    <xdr:rowOff>381000</xdr:rowOff>
                  </to>
                </anchor>
              </controlPr>
            </control>
          </mc:Choice>
        </mc:AlternateContent>
        <mc:AlternateContent xmlns:mc="http://schemas.openxmlformats.org/markup-compatibility/2006">
          <mc:Choice Requires="x14">
            <control shapeId="10281" r:id="rId9" name="Drop Down 41">
              <controlPr defaultSize="0" autoLine="0" autoPict="0" macro="[0]!Reagent_Change">
                <anchor moveWithCells="1">
                  <from>
                    <xdr:col>1</xdr:col>
                    <xdr:colOff>3429000</xdr:colOff>
                    <xdr:row>45</xdr:row>
                    <xdr:rowOff>209550</xdr:rowOff>
                  </from>
                  <to>
                    <xdr:col>2</xdr:col>
                    <xdr:colOff>831850</xdr:colOff>
                    <xdr:row>47</xdr:row>
                    <xdr:rowOff>19050</xdr:rowOff>
                  </to>
                </anchor>
              </controlPr>
            </control>
          </mc:Choice>
        </mc:AlternateContent>
        <mc:AlternateContent xmlns:mc="http://schemas.openxmlformats.org/markup-compatibility/2006">
          <mc:Choice Requires="x14">
            <control shapeId="10282" r:id="rId10" name="Drop Down 42">
              <controlPr defaultSize="0" autoLine="0" autoPict="0" macro="[0]!Retrofit_Change">
                <anchor moveWithCells="1">
                  <from>
                    <xdr:col>1</xdr:col>
                    <xdr:colOff>3181350</xdr:colOff>
                    <xdr:row>4</xdr:row>
                    <xdr:rowOff>114300</xdr:rowOff>
                  </from>
                  <to>
                    <xdr:col>2</xdr:col>
                    <xdr:colOff>628650</xdr:colOff>
                    <xdr:row>5</xdr:row>
                    <xdr:rowOff>19050</xdr:rowOff>
                  </to>
                </anchor>
              </controlPr>
            </control>
          </mc:Choice>
        </mc:AlternateContent>
        <mc:AlternateContent xmlns:mc="http://schemas.openxmlformats.org/markup-compatibility/2006">
          <mc:Choice Requires="x14">
            <control shapeId="10286" r:id="rId11" name="Option Button 46">
              <controlPr locked="0" defaultSize="0" autoFill="0" autoLine="0" autoPict="0">
                <anchor moveWithCells="1">
                  <from>
                    <xdr:col>11</xdr:col>
                    <xdr:colOff>381000</xdr:colOff>
                    <xdr:row>24</xdr:row>
                    <xdr:rowOff>114300</xdr:rowOff>
                  </from>
                  <to>
                    <xdr:col>12</xdr:col>
                    <xdr:colOff>755650</xdr:colOff>
                    <xdr:row>24</xdr:row>
                    <xdr:rowOff>381000</xdr:rowOff>
                  </to>
                </anchor>
              </controlPr>
            </control>
          </mc:Choice>
        </mc:AlternateContent>
        <mc:AlternateContent xmlns:mc="http://schemas.openxmlformats.org/markup-compatibility/2006">
          <mc:Choice Requires="x14">
            <control shapeId="10287" r:id="rId12" name="Option Button 47">
              <controlPr locked="0" defaultSize="0" autoFill="0" autoLine="0" autoPict="0">
                <anchor moveWithCells="1">
                  <from>
                    <xdr:col>11</xdr:col>
                    <xdr:colOff>393700</xdr:colOff>
                    <xdr:row>24</xdr:row>
                    <xdr:rowOff>279400</xdr:rowOff>
                  </from>
                  <to>
                    <xdr:col>12</xdr:col>
                    <xdr:colOff>514350</xdr:colOff>
                    <xdr:row>24</xdr:row>
                    <xdr:rowOff>660400</xdr:rowOff>
                  </to>
                </anchor>
              </controlPr>
            </control>
          </mc:Choice>
        </mc:AlternateContent>
        <mc:AlternateContent xmlns:mc="http://schemas.openxmlformats.org/markup-compatibility/2006">
          <mc:Choice Requires="x14">
            <control shapeId="10288" r:id="rId13" name="Option Button 48">
              <controlPr locked="0" defaultSize="0" autoFill="0" autoLine="0" autoPict="0">
                <anchor moveWithCells="1">
                  <from>
                    <xdr:col>11</xdr:col>
                    <xdr:colOff>393700</xdr:colOff>
                    <xdr:row>24</xdr:row>
                    <xdr:rowOff>552450</xdr:rowOff>
                  </from>
                  <to>
                    <xdr:col>12</xdr:col>
                    <xdr:colOff>793750</xdr:colOff>
                    <xdr:row>24</xdr:row>
                    <xdr:rowOff>800100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86" yWindow="459" count="1">
        <x14:dataValidation type="decimal" errorStyle="warning" operator="lessThanOrEqual" allowBlank="1" showInputMessage="1" showErrorMessage="1" error="The value you entered is greater than the estimated maximum annual based on the boiler's capacity.  ">
          <x14:formula1>
            <xm:f>'SCR Design Parameters'!C7</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sheetPr>
  <dimension ref="A1:S65"/>
  <sheetViews>
    <sheetView showGridLines="0" view="pageBreakPreview" zoomScale="90" zoomScaleNormal="100" zoomScaleSheetLayoutView="90" zoomScalePageLayoutView="50" workbookViewId="0">
      <selection activeCell="C14" sqref="C14"/>
    </sheetView>
  </sheetViews>
  <sheetFormatPr defaultColWidth="9.1796875" defaultRowHeight="14.5" x14ac:dyDescent="0.35"/>
  <cols>
    <col min="1" max="1" width="44.7265625" style="88" customWidth="1"/>
    <col min="2" max="2" width="46.453125" style="88" customWidth="1"/>
    <col min="3" max="3" width="19.81640625" style="68" customWidth="1"/>
    <col min="4" max="4" width="27.1796875" style="68" customWidth="1"/>
    <col min="5" max="5" width="11.26953125" style="68" customWidth="1"/>
    <col min="6" max="6" width="7.7265625" style="68" customWidth="1"/>
    <col min="7" max="7" width="7.453125" style="85" customWidth="1"/>
    <col min="8" max="13" width="9.1796875" style="85" hidden="1" customWidth="1"/>
    <col min="14" max="14" width="9.1796875" style="86" hidden="1" customWidth="1"/>
    <col min="15" max="16" width="9.1796875" style="86" customWidth="1"/>
    <col min="17" max="19" width="9.1796875" style="87" customWidth="1"/>
    <col min="20" max="20" width="9.1796875" style="68" customWidth="1"/>
    <col min="21" max="16384" width="9.1796875" style="68"/>
  </cols>
  <sheetData>
    <row r="1" spans="1:19" ht="23.5" x14ac:dyDescent="0.55000000000000004">
      <c r="A1" s="492" t="s">
        <v>156</v>
      </c>
      <c r="B1" s="492"/>
      <c r="C1" s="492"/>
      <c r="D1" s="492"/>
      <c r="E1" s="492"/>
      <c r="F1" s="492"/>
    </row>
    <row r="3" spans="1:19" ht="31.5" customHeight="1" x14ac:dyDescent="0.35">
      <c r="A3" s="491" t="s">
        <v>157</v>
      </c>
      <c r="B3" s="491"/>
      <c r="C3" s="491"/>
      <c r="D3" s="491"/>
      <c r="E3" s="491"/>
      <c r="F3" s="491"/>
    </row>
    <row r="4" spans="1:19" ht="31.5" customHeight="1" x14ac:dyDescent="0.35">
      <c r="A4" s="89"/>
      <c r="B4" s="89"/>
      <c r="C4" s="89"/>
      <c r="D4" s="89"/>
      <c r="E4" s="89"/>
      <c r="F4" s="89"/>
    </row>
    <row r="5" spans="1:19" ht="18" customHeight="1" x14ac:dyDescent="0.35">
      <c r="A5" s="90" t="s">
        <v>84</v>
      </c>
      <c r="B5" s="90" t="s">
        <v>85</v>
      </c>
      <c r="C5" s="90" t="s">
        <v>86</v>
      </c>
      <c r="D5" s="90" t="s">
        <v>87</v>
      </c>
      <c r="E5" s="91"/>
      <c r="F5" s="91"/>
    </row>
    <row r="6" spans="1:19" s="93" customFormat="1" ht="17.5" x14ac:dyDescent="0.45">
      <c r="A6" s="92" t="s">
        <v>62</v>
      </c>
      <c r="B6" s="92" t="str">
        <f>IF('Data Inputs'!P8=2,"Bmw x NPHR =", "HHV x Max. Fuel Rate =")</f>
        <v>HHV x Max. Fuel Rate =</v>
      </c>
      <c r="C6" s="61">
        <f>IF('Data Inputs'!P8=2,('Data Inputs'!C10*'Data Inputs'!C17),'Data Inputs'!C10)</f>
        <v>495</v>
      </c>
      <c r="D6" s="75" t="s">
        <v>10</v>
      </c>
      <c r="G6" s="94"/>
      <c r="H6" s="94"/>
      <c r="I6" s="94"/>
      <c r="J6" s="94"/>
      <c r="K6" s="94"/>
      <c r="L6" s="94"/>
      <c r="M6" s="94"/>
      <c r="N6" s="95"/>
      <c r="O6" s="95"/>
      <c r="P6" s="95"/>
      <c r="Q6" s="96"/>
      <c r="R6" s="96"/>
      <c r="S6" s="96"/>
    </row>
    <row r="7" spans="1:19" s="93" customFormat="1" ht="15.5" x14ac:dyDescent="0.35">
      <c r="A7" s="92" t="str">
        <f>IF('Data Inputs'!P8=2,"Maximum Annual MW Output (Bmw) =",(IF('Data Inputs'!P8=3,"Maximum Annual fuel consumption (mfuel) ="," ")))</f>
        <v>Maximum Annual fuel consumption (mfuel) =</v>
      </c>
      <c r="B7" s="92" t="str">
        <f>IF('Data Inputs'!P8=2, "Bmw x 8760 = ", (IF('Data Inputs'!P8=3, "(QB x 1.0E6 x 8760)/HHV =", " ")))</f>
        <v>(QB x 1.0E6 x 8760)/HHV =</v>
      </c>
      <c r="C7" s="61">
        <f>IF('Data Inputs'!P8=3,((('SCR Design Parameters'!C6/'Data Inputs'!C12)*1000000)*8760),(IF('Data Inputs'!P8=2,('Data Inputs'!C10*8760)," ")))</f>
        <v>573571428.57142866</v>
      </c>
      <c r="D7" s="75" t="str">
        <f>'Data Inputs'!D14</f>
        <v>lbs/year</v>
      </c>
      <c r="E7" s="127"/>
      <c r="G7" s="94"/>
      <c r="H7" s="94"/>
      <c r="I7" s="94"/>
      <c r="J7" s="94"/>
      <c r="K7" s="94"/>
      <c r="L7" s="94"/>
      <c r="M7" s="94"/>
      <c r="N7" s="95"/>
      <c r="O7" s="95"/>
      <c r="P7" s="95"/>
      <c r="Q7" s="96"/>
      <c r="R7" s="96"/>
      <c r="S7" s="96"/>
    </row>
    <row r="8" spans="1:19" s="93" customFormat="1" ht="15.5" x14ac:dyDescent="0.35">
      <c r="A8" s="97" t="str">
        <f>IF('Data Inputs'!P8=2,"Estimated Actual Annual MW Output (Boutput) =",(IF('Data Inputs'!P8=3,"Actual Annual fuel consumption (Mactual) ="," ")))</f>
        <v>Actual Annual fuel consumption (Mactual) =</v>
      </c>
      <c r="B8" s="97"/>
      <c r="C8" s="61">
        <f>284557*2000</f>
        <v>569114000</v>
      </c>
      <c r="D8" s="75" t="str">
        <f>'Data Inputs'!D14</f>
        <v>lbs/year</v>
      </c>
      <c r="E8" s="128"/>
      <c r="G8" s="94"/>
      <c r="H8" s="94"/>
      <c r="I8" s="94"/>
      <c r="J8" s="94"/>
      <c r="K8" s="94"/>
      <c r="L8" s="94"/>
      <c r="M8" s="94"/>
      <c r="N8" s="95"/>
      <c r="O8" s="95"/>
      <c r="P8" s="95"/>
      <c r="Q8" s="96"/>
      <c r="R8" s="96"/>
      <c r="S8" s="96"/>
    </row>
    <row r="9" spans="1:19" s="93" customFormat="1" ht="15.5" x14ac:dyDescent="0.35">
      <c r="A9" s="97" t="s">
        <v>64</v>
      </c>
      <c r="B9" s="97" t="s">
        <v>63</v>
      </c>
      <c r="C9" s="59">
        <f>'Data Inputs'!C17/10</f>
        <v>1.1833</v>
      </c>
      <c r="D9" s="75"/>
      <c r="E9" s="127"/>
      <c r="G9" s="94"/>
      <c r="H9" s="94"/>
      <c r="I9" s="94"/>
      <c r="J9" s="94"/>
      <c r="K9" s="94"/>
      <c r="L9" s="94"/>
      <c r="M9" s="94"/>
      <c r="N9" s="95"/>
      <c r="O9" s="95"/>
      <c r="P9" s="95"/>
      <c r="Q9" s="96"/>
      <c r="R9" s="96"/>
      <c r="S9" s="96"/>
    </row>
    <row r="10" spans="1:19" s="93" customFormat="1" ht="17.5" x14ac:dyDescent="0.45">
      <c r="A10" s="92" t="s">
        <v>65</v>
      </c>
      <c r="B10" s="92" t="str">
        <f>IF('Data Inputs'!P8=2, "(Boutput/Bmw)*(tscr/tplant) =", (IF('Data Inputs'!P8=3, "(Mactual/Mfuel) x (tscr/tplant)  =", " ")))</f>
        <v>(Mactual/Mfuel) x (tscr/tplant)  =</v>
      </c>
      <c r="C10" s="76">
        <f>(C8/C7)*('Data Inputs'!C31/'Data Inputs'!C32)</f>
        <v>0.99222864259028631</v>
      </c>
      <c r="D10" s="75" t="s">
        <v>22</v>
      </c>
      <c r="G10" s="94"/>
      <c r="H10" s="94"/>
      <c r="I10" s="94"/>
      <c r="J10" s="94"/>
      <c r="K10" s="94"/>
      <c r="L10" s="94"/>
      <c r="M10" s="94"/>
      <c r="N10" s="95"/>
      <c r="O10" s="95"/>
      <c r="P10" s="95"/>
      <c r="Q10" s="96"/>
      <c r="R10" s="96"/>
      <c r="S10" s="96"/>
    </row>
    <row r="11" spans="1:19" s="93" customFormat="1" ht="17.5" x14ac:dyDescent="0.45">
      <c r="A11" s="92" t="s">
        <v>166</v>
      </c>
      <c r="B11" s="92" t="s">
        <v>67</v>
      </c>
      <c r="C11" s="77">
        <f>C10*8760</f>
        <v>8691.9229090909084</v>
      </c>
      <c r="D11" s="75" t="s">
        <v>23</v>
      </c>
      <c r="G11" s="94"/>
      <c r="H11" s="94"/>
      <c r="I11" s="94"/>
      <c r="J11" s="94"/>
      <c r="K11" s="94"/>
      <c r="L11" s="94"/>
      <c r="M11" s="94"/>
      <c r="N11" s="95"/>
      <c r="O11" s="95"/>
      <c r="P11" s="95"/>
      <c r="Q11" s="96"/>
      <c r="R11" s="96"/>
      <c r="S11" s="96"/>
    </row>
    <row r="12" spans="1:19" s="93" customFormat="1" ht="15.5" x14ac:dyDescent="0.35">
      <c r="A12" s="92" t="s">
        <v>68</v>
      </c>
      <c r="B12" s="387" t="s">
        <v>309</v>
      </c>
      <c r="C12" s="277">
        <f>'Data Inputs'!C34</f>
        <v>90</v>
      </c>
      <c r="D12" s="75" t="s">
        <v>4</v>
      </c>
      <c r="E12" s="106"/>
      <c r="G12" s="94"/>
      <c r="H12" s="94"/>
      <c r="I12" s="94"/>
      <c r="J12" s="94"/>
      <c r="K12" s="94"/>
      <c r="L12" s="94"/>
      <c r="M12" s="94"/>
      <c r="N12" s="95"/>
      <c r="O12" s="95"/>
      <c r="P12" s="95"/>
      <c r="Q12" s="96"/>
      <c r="R12" s="96"/>
      <c r="S12" s="96"/>
    </row>
    <row r="13" spans="1:19" s="93" customFormat="1" ht="17.5" x14ac:dyDescent="0.45">
      <c r="A13" s="92" t="s">
        <v>75</v>
      </c>
      <c r="B13" s="92" t="s">
        <v>70</v>
      </c>
      <c r="C13" s="76">
        <f>(C12/100)*'Data Inputs'!C33*'SCR Design Parameters'!C6</f>
        <v>179.09100000000001</v>
      </c>
      <c r="D13" s="75" t="s">
        <v>5</v>
      </c>
      <c r="G13" s="94"/>
      <c r="H13" s="94"/>
      <c r="I13" s="94"/>
      <c r="J13" s="94"/>
      <c r="K13" s="94"/>
      <c r="L13" s="94"/>
      <c r="M13" s="94"/>
      <c r="N13" s="95"/>
      <c r="O13" s="95"/>
      <c r="P13" s="95"/>
      <c r="Q13" s="96"/>
      <c r="R13" s="96"/>
      <c r="S13" s="96"/>
    </row>
    <row r="14" spans="1:19" s="93" customFormat="1" ht="17.5" x14ac:dyDescent="0.45">
      <c r="A14" s="92" t="s">
        <v>76</v>
      </c>
      <c r="B14" s="92" t="s">
        <v>69</v>
      </c>
      <c r="C14" s="59">
        <f>C13*C11/2000</f>
        <v>778.32258285599994</v>
      </c>
      <c r="D14" s="75" t="s">
        <v>24</v>
      </c>
      <c r="G14" s="94"/>
      <c r="H14" s="94"/>
      <c r="I14" s="94"/>
      <c r="J14" s="94"/>
      <c r="K14" s="94"/>
      <c r="L14" s="94"/>
      <c r="M14" s="94"/>
      <c r="N14" s="95"/>
      <c r="O14" s="95"/>
      <c r="P14" s="95"/>
      <c r="Q14" s="96"/>
      <c r="R14" s="96"/>
      <c r="S14" s="96"/>
    </row>
    <row r="15" spans="1:19" s="93" customFormat="1" ht="15.5" x14ac:dyDescent="0.35">
      <c r="A15" s="92" t="s">
        <v>196</v>
      </c>
      <c r="B15" s="92" t="s">
        <v>197</v>
      </c>
      <c r="C15" s="59">
        <f>C12/80</f>
        <v>1.125</v>
      </c>
      <c r="D15" s="75"/>
      <c r="G15" s="94"/>
      <c r="H15" s="94"/>
      <c r="I15" s="94"/>
      <c r="J15" s="94"/>
      <c r="K15" s="94"/>
      <c r="L15" s="94"/>
      <c r="M15" s="94"/>
      <c r="N15" s="95"/>
      <c r="O15" s="95"/>
      <c r="P15" s="95"/>
      <c r="Q15" s="96"/>
      <c r="R15" s="96"/>
      <c r="S15" s="96"/>
    </row>
    <row r="16" spans="1:19" s="93" customFormat="1" ht="17.5" x14ac:dyDescent="0.45">
      <c r="A16" s="197" t="s">
        <v>204</v>
      </c>
      <c r="B16" s="197" t="s">
        <v>245</v>
      </c>
      <c r="C16" s="61">
        <f>IF(OR('Data Inputs'!K36="UNK", 'Data Inputs'!K36=" "), ('Data Inputs'!K40*'SCR Design Parameters'!C6*(460+'Data Inputs'!K39))/((460+700)*'Data Inputs'!K31), 'Data Inputs'!K36)</f>
        <v>162098.5</v>
      </c>
      <c r="D16" s="75" t="s">
        <v>172</v>
      </c>
      <c r="G16" s="94"/>
      <c r="H16" s="94"/>
      <c r="I16" s="94"/>
      <c r="J16" s="94"/>
      <c r="K16" s="94"/>
      <c r="L16" s="94"/>
      <c r="M16" s="94"/>
      <c r="N16" s="95"/>
      <c r="O16" s="95"/>
      <c r="P16" s="95"/>
      <c r="Q16" s="96"/>
      <c r="R16" s="96"/>
      <c r="S16" s="96"/>
    </row>
    <row r="17" spans="1:19" s="93" customFormat="1" ht="20.25" customHeight="1" x14ac:dyDescent="0.45">
      <c r="A17" s="197" t="s">
        <v>206</v>
      </c>
      <c r="B17" s="197" t="s">
        <v>210</v>
      </c>
      <c r="C17" s="59">
        <f>C16/C34</f>
        <v>24.54888621158506</v>
      </c>
      <c r="D17" s="75" t="s">
        <v>208</v>
      </c>
      <c r="E17" s="106"/>
      <c r="G17" s="94"/>
      <c r="H17" s="94"/>
      <c r="I17" s="94"/>
      <c r="J17" s="94"/>
      <c r="K17" s="94"/>
      <c r="L17" s="94"/>
      <c r="M17" s="94"/>
      <c r="N17" s="95"/>
      <c r="O17" s="95"/>
      <c r="P17" s="95"/>
      <c r="Q17" s="96"/>
      <c r="R17" s="96"/>
      <c r="S17" s="96"/>
    </row>
    <row r="18" spans="1:19" s="93" customFormat="1" ht="20.25" customHeight="1" x14ac:dyDescent="0.45">
      <c r="A18" s="197" t="s">
        <v>205</v>
      </c>
      <c r="B18" s="93" t="s">
        <v>209</v>
      </c>
      <c r="C18" s="59">
        <f>1/C17</f>
        <v>4.0735045630220165E-2</v>
      </c>
      <c r="D18" s="75" t="s">
        <v>207</v>
      </c>
      <c r="G18" s="94"/>
      <c r="H18" s="94"/>
      <c r="I18" s="94"/>
      <c r="J18" s="94"/>
      <c r="K18" s="94"/>
      <c r="L18" s="94"/>
      <c r="M18" s="94"/>
      <c r="N18" s="95"/>
      <c r="O18" s="95"/>
      <c r="P18" s="95"/>
      <c r="Q18" s="96"/>
      <c r="R18" s="96"/>
      <c r="S18" s="96"/>
    </row>
    <row r="19" spans="1:19" s="93" customFormat="1" ht="45" customHeight="1" x14ac:dyDescent="0.35">
      <c r="A19" s="97" t="s">
        <v>167</v>
      </c>
      <c r="B19" s="386" t="s">
        <v>308</v>
      </c>
      <c r="C19" s="59">
        <f>IF('Data Inputs'!P17=2, (IF('Data Inputs'!S12=2,1,(IF('Data Inputs'!S12=3,1.05,(IF('Data Inputs'!S12=4,1.07,J19)))))), 1)</f>
        <v>1.05</v>
      </c>
      <c r="D19" s="75"/>
      <c r="E19" s="489"/>
      <c r="F19" s="489"/>
      <c r="G19" s="94"/>
      <c r="H19" s="94"/>
      <c r="I19" s="94"/>
      <c r="J19" s="187">
        <f>((1*'Data Inputs'!I19)+(1.05*'Data Inputs'!I20)+(1.07*'Data Inputs'!I21))/SUM('Data Inputs'!I19:I21)</f>
        <v>1.05</v>
      </c>
      <c r="K19" s="94" t="s">
        <v>211</v>
      </c>
      <c r="L19" s="94"/>
      <c r="M19" s="94"/>
      <c r="N19" s="95"/>
      <c r="O19" s="95"/>
      <c r="P19" s="95"/>
      <c r="Q19" s="96"/>
      <c r="R19" s="96"/>
      <c r="S19" s="96"/>
    </row>
    <row r="20" spans="1:19" s="93" customFormat="1" ht="33" customHeight="1" x14ac:dyDescent="0.35">
      <c r="A20" s="209" t="s">
        <v>123</v>
      </c>
      <c r="B20" s="98" t="s">
        <v>130</v>
      </c>
      <c r="C20" s="74" t="str">
        <f>IF('Data Inputs'!V11=2,"&lt; 3",(IF('Data Inputs'!V11=3,"&gt; 3"," ")))</f>
        <v>&lt; 3</v>
      </c>
      <c r="D20" s="75" t="str">
        <f>IF('Data Inputs'!P17=2, "lbs/MMBtu", " ")</f>
        <v>lbs/MMBtu</v>
      </c>
      <c r="E20" s="488" t="str">
        <f>IF('Data Inputs'!P17&lt;&gt;2,"Not applicable; factor applies only to coal-fired boilers", " ")</f>
        <v xml:space="preserve"> </v>
      </c>
      <c r="F20" s="489"/>
      <c r="G20" s="94"/>
      <c r="H20" s="94"/>
      <c r="I20" s="94"/>
      <c r="J20" s="94"/>
      <c r="K20" s="94"/>
      <c r="L20" s="94"/>
      <c r="M20" s="94"/>
      <c r="N20" s="95"/>
      <c r="O20" s="95"/>
      <c r="P20" s="95"/>
      <c r="Q20" s="96"/>
      <c r="R20" s="96"/>
      <c r="S20" s="96"/>
    </row>
    <row r="21" spans="1:19" s="93" customFormat="1" ht="25.5" customHeight="1" x14ac:dyDescent="0.35">
      <c r="A21" s="98" t="s">
        <v>108</v>
      </c>
      <c r="B21" s="98" t="s">
        <v>132</v>
      </c>
      <c r="C21" s="59"/>
      <c r="D21" s="75"/>
      <c r="E21" s="493" t="str">
        <f>IF('[1]Data Inputs'!C24&lt;500, "Not applicable; elevation factor does not apply to plants located at elevations below 500 feet.", " ")</f>
        <v>Not applicable; elevation factor does not apply to plants located at elevations below 500 feet.</v>
      </c>
      <c r="F21" s="494"/>
      <c r="G21" s="188"/>
      <c r="H21" s="94"/>
      <c r="I21" s="94"/>
      <c r="J21" s="94"/>
      <c r="K21" s="94"/>
      <c r="L21" s="94"/>
      <c r="M21" s="94"/>
      <c r="N21" s="95"/>
      <c r="O21" s="95"/>
      <c r="P21" s="95"/>
      <c r="Q21" s="96"/>
      <c r="R21" s="96"/>
      <c r="S21" s="96"/>
    </row>
    <row r="22" spans="1:19" s="93" customFormat="1" ht="41.25" customHeight="1" x14ac:dyDescent="0.35">
      <c r="A22" s="99" t="str">
        <f>IF('Data Inputs'!I32=0,"Atmospheric pressure at sea level (P) =","Atmospheric pressure at "&amp;'Data Inputs'!I32&amp;" feet above sea level (P) =")</f>
        <v>Atmospheric pressure at sea level (P) =</v>
      </c>
      <c r="B22" s="141" t="s">
        <v>151</v>
      </c>
      <c r="C22" s="142">
        <f>(2116)*(((59-(0.00356*'Data Inputs'!C24)+459.7)/518.6)^5.256)*(1/144)</f>
        <v>14.472129091012603</v>
      </c>
      <c r="D22" s="75" t="s">
        <v>109</v>
      </c>
      <c r="E22" s="493"/>
      <c r="F22" s="494"/>
      <c r="G22" s="94"/>
      <c r="H22" s="94"/>
      <c r="I22" s="94"/>
      <c r="J22" s="94"/>
      <c r="K22" s="94"/>
      <c r="L22" s="94"/>
      <c r="M22" s="94"/>
      <c r="N22" s="95"/>
      <c r="O22" s="95"/>
      <c r="P22" s="95"/>
      <c r="Q22" s="96"/>
      <c r="R22" s="96"/>
      <c r="S22" s="96"/>
    </row>
    <row r="23" spans="1:19" s="106" customFormat="1" ht="21.75" hidden="1" customHeight="1" x14ac:dyDescent="0.35">
      <c r="A23" s="267"/>
      <c r="B23" s="268" t="str">
        <f>IF('Data Inputs'!S8=2,"New Construction",(IF('Data Inputs'!S8=3,"SNCR Retrofit"," ")))</f>
        <v>SNCR Retrofit</v>
      </c>
      <c r="C23" s="269">
        <f>IF('Data Inputs'!S8=2,1,(IF('Data Inputs'!S8=3,1.19," ")))</f>
        <v>1.19</v>
      </c>
      <c r="D23" s="232"/>
      <c r="E23" s="493"/>
      <c r="F23" s="494"/>
      <c r="G23" s="270"/>
      <c r="H23" s="270"/>
      <c r="I23" s="270"/>
      <c r="J23" s="270"/>
      <c r="K23" s="270"/>
      <c r="L23" s="270"/>
      <c r="M23" s="270"/>
      <c r="N23" s="271"/>
      <c r="O23" s="271"/>
      <c r="P23" s="271"/>
    </row>
    <row r="24" spans="1:19" s="106" customFormat="1" ht="28.5" customHeight="1" x14ac:dyDescent="0.35">
      <c r="A24" s="279" t="s">
        <v>261</v>
      </c>
      <c r="B24" s="268" t="str">
        <f>IF('Data Inputs'!S8=2,"New Construction",(IF('Data Inputs'!S8=3,"Retrofit to existing boiler"," ")))</f>
        <v>Retrofit to existing boiler</v>
      </c>
      <c r="C24" s="280">
        <f>'Data Inputs'!D7</f>
        <v>1.5</v>
      </c>
      <c r="D24" s="75"/>
      <c r="E24" s="493"/>
      <c r="F24" s="494"/>
      <c r="G24" s="270"/>
      <c r="H24" s="270"/>
      <c r="I24" s="270"/>
      <c r="J24" s="270"/>
      <c r="K24" s="270"/>
      <c r="L24" s="270"/>
      <c r="M24" s="270"/>
      <c r="N24" s="271"/>
      <c r="O24" s="271"/>
      <c r="P24" s="271"/>
    </row>
    <row r="25" spans="1:19" s="93" customFormat="1" ht="37.5" customHeight="1" x14ac:dyDescent="0.35">
      <c r="A25" s="490" t="s">
        <v>152</v>
      </c>
      <c r="B25" s="490"/>
      <c r="C25" s="490"/>
      <c r="D25" s="490"/>
      <c r="G25" s="94"/>
      <c r="H25" s="94"/>
      <c r="I25" s="94"/>
      <c r="J25" s="94"/>
      <c r="K25" s="94"/>
      <c r="L25" s="94"/>
      <c r="M25" s="94"/>
      <c r="N25" s="95"/>
      <c r="O25" s="95"/>
      <c r="P25" s="95"/>
      <c r="Q25" s="96"/>
      <c r="R25" s="96"/>
      <c r="S25" s="96"/>
    </row>
    <row r="26" spans="1:19" s="93" customFormat="1" ht="37.5" customHeight="1" x14ac:dyDescent="0.35">
      <c r="A26" s="201"/>
      <c r="B26" s="201"/>
      <c r="C26" s="201"/>
      <c r="D26" s="201"/>
      <c r="G26" s="94"/>
      <c r="H26" s="94"/>
      <c r="I26" s="94"/>
      <c r="J26" s="94"/>
      <c r="K26" s="94"/>
      <c r="L26" s="94"/>
      <c r="M26" s="94"/>
      <c r="N26" s="95"/>
      <c r="O26" s="95"/>
      <c r="P26" s="95"/>
      <c r="Q26" s="96"/>
      <c r="R26" s="96"/>
      <c r="S26" s="96"/>
    </row>
    <row r="27" spans="1:19" s="93" customFormat="1" ht="37.5" customHeight="1" x14ac:dyDescent="0.35">
      <c r="A27" s="201"/>
      <c r="B27" s="201"/>
      <c r="C27" s="201"/>
      <c r="D27" s="201"/>
      <c r="G27" s="94"/>
      <c r="H27" s="94"/>
      <c r="I27" s="94"/>
      <c r="J27" s="94"/>
      <c r="K27" s="94"/>
      <c r="L27" s="94"/>
      <c r="M27" s="94"/>
      <c r="N27" s="95"/>
      <c r="O27" s="95"/>
      <c r="P27" s="95"/>
      <c r="Q27" s="96"/>
      <c r="R27" s="96"/>
      <c r="S27" s="96"/>
    </row>
    <row r="28" spans="1:19" s="93" customFormat="1" ht="37.5" customHeight="1" x14ac:dyDescent="0.35">
      <c r="A28" s="201"/>
      <c r="B28" s="201"/>
      <c r="C28" s="201"/>
      <c r="D28" s="201"/>
      <c r="G28" s="94"/>
      <c r="H28" s="94"/>
      <c r="I28" s="94"/>
      <c r="J28" s="94"/>
      <c r="K28" s="94"/>
      <c r="L28" s="94"/>
      <c r="M28" s="94"/>
      <c r="N28" s="95"/>
      <c r="O28" s="95"/>
      <c r="P28" s="95"/>
      <c r="Q28" s="96"/>
      <c r="R28" s="96"/>
      <c r="S28" s="96"/>
    </row>
    <row r="29" spans="1:19" s="93" customFormat="1" ht="15" customHeight="1" x14ac:dyDescent="0.35">
      <c r="A29" s="201"/>
      <c r="B29" s="201"/>
      <c r="C29" s="201"/>
      <c r="D29" s="201"/>
      <c r="G29" s="94"/>
      <c r="H29" s="94"/>
      <c r="I29" s="94"/>
      <c r="J29" s="94"/>
      <c r="K29" s="94"/>
      <c r="L29" s="94"/>
      <c r="M29" s="94"/>
      <c r="N29" s="95"/>
      <c r="O29" s="95"/>
      <c r="P29" s="95"/>
      <c r="Q29" s="96"/>
      <c r="R29" s="96"/>
      <c r="S29" s="96"/>
    </row>
    <row r="30" spans="1:19" s="93" customFormat="1" ht="15.75" customHeight="1" x14ac:dyDescent="0.35">
      <c r="A30" s="210" t="s">
        <v>177</v>
      </c>
      <c r="B30" s="201"/>
      <c r="C30" s="201"/>
      <c r="D30" s="201"/>
      <c r="G30" s="94"/>
      <c r="H30" s="94"/>
      <c r="I30" s="94"/>
      <c r="J30" s="94"/>
      <c r="K30" s="94"/>
      <c r="L30" s="94"/>
      <c r="M30" s="94"/>
      <c r="N30" s="95"/>
      <c r="O30" s="95"/>
      <c r="P30" s="95"/>
      <c r="Q30" s="96"/>
      <c r="R30" s="96"/>
      <c r="S30" s="96"/>
    </row>
    <row r="31" spans="1:19" s="93" customFormat="1" ht="14.25" customHeight="1" x14ac:dyDescent="0.35">
      <c r="A31" s="201"/>
      <c r="B31" s="201"/>
      <c r="C31" s="201"/>
      <c r="D31" s="201"/>
      <c r="G31" s="94"/>
      <c r="H31" s="94"/>
      <c r="I31" s="94"/>
      <c r="J31" s="94"/>
      <c r="K31" s="94"/>
      <c r="L31" s="94"/>
      <c r="M31" s="94"/>
      <c r="N31" s="95"/>
      <c r="O31" s="95"/>
      <c r="P31" s="95"/>
      <c r="Q31" s="96"/>
      <c r="R31" s="96"/>
      <c r="S31" s="96"/>
    </row>
    <row r="32" spans="1:19" ht="18" customHeight="1" x14ac:dyDescent="0.35">
      <c r="A32" s="90" t="s">
        <v>84</v>
      </c>
      <c r="B32" s="90" t="s">
        <v>85</v>
      </c>
      <c r="C32" s="90" t="s">
        <v>86</v>
      </c>
      <c r="D32" s="90" t="s">
        <v>87</v>
      </c>
      <c r="E32" s="91"/>
      <c r="F32" s="91"/>
      <c r="J32" s="85">
        <f>(0.2869+(1.058*C12/100))</f>
        <v>1.2390999999999999</v>
      </c>
      <c r="K32" s="85" t="s">
        <v>215</v>
      </c>
    </row>
    <row r="33" spans="1:19" ht="49.5" customHeight="1" x14ac:dyDescent="0.35">
      <c r="A33" s="238" t="s">
        <v>179</v>
      </c>
      <c r="B33" s="211" t="s">
        <v>259</v>
      </c>
      <c r="C33" s="246">
        <f>('Data Inputs'!C54/100)/(((1+('Data Inputs'!C54/100))^L33)-1)</f>
        <v>0.3172085646312448</v>
      </c>
      <c r="D33" s="247" t="s">
        <v>220</v>
      </c>
      <c r="E33" s="91"/>
      <c r="F33" s="91"/>
      <c r="J33" s="85">
        <f>(1.2835-(0.0567*'Data Inputs'!K34))</f>
        <v>0.71650000000000014</v>
      </c>
      <c r="K33" s="85" t="s">
        <v>216</v>
      </c>
      <c r="L33" s="91">
        <f>ROUND('Data Inputs'!C38/('Data Inputs'!C31*24),0)</f>
        <v>3</v>
      </c>
    </row>
    <row r="34" spans="1:19" ht="35.25" customHeight="1" x14ac:dyDescent="0.45">
      <c r="A34" s="238" t="s">
        <v>222</v>
      </c>
      <c r="B34" s="211" t="s">
        <v>212</v>
      </c>
      <c r="C34" s="248">
        <f>IF(OR('Data Inputs'!K35="UNK",'Data Inputs'!K35=" "),(2.81*C6*'SCR Design Parameters'!J32*'SCR Design Parameters'!J33*'SCR Design Parameters'!J34*'SCR Design Parameters'!J35*('SCR Design Parameters'!J37/'Data Inputs'!K31)), 'Data Inputs'!K35)</f>
        <v>6603.0897940902432</v>
      </c>
      <c r="D34" s="249" t="s">
        <v>181</v>
      </c>
      <c r="E34" s="91"/>
      <c r="F34" s="91"/>
      <c r="J34" s="85">
        <f>(0.8524+(0.3208*'Data Inputs'!C33))</f>
        <v>0.98136160000000006</v>
      </c>
      <c r="K34" s="85" t="s">
        <v>217</v>
      </c>
    </row>
    <row r="35" spans="1:19" s="93" customFormat="1" ht="17.5" x14ac:dyDescent="0.35">
      <c r="A35" s="242" t="s">
        <v>223</v>
      </c>
      <c r="B35" s="242" t="s">
        <v>227</v>
      </c>
      <c r="C35" s="250">
        <f>C16/(16*60)</f>
        <v>168.85260416666668</v>
      </c>
      <c r="D35" s="251" t="s">
        <v>226</v>
      </c>
      <c r="G35" s="94"/>
      <c r="H35" s="94"/>
      <c r="I35" s="94"/>
      <c r="J35" s="94">
        <f>IF('Data Inputs'!P17=2, (0.9636+(0.0455*'Data Inputs'!I12)), 0.9636)</f>
        <v>0.97497500000000004</v>
      </c>
      <c r="K35" s="94" t="s">
        <v>218</v>
      </c>
      <c r="L35" s="94"/>
      <c r="M35" s="94"/>
      <c r="N35" s="95"/>
      <c r="O35" s="95"/>
      <c r="P35" s="95"/>
      <c r="Q35" s="96"/>
      <c r="R35" s="96"/>
      <c r="S35" s="96"/>
    </row>
    <row r="36" spans="1:19" s="93" customFormat="1" ht="17.5" x14ac:dyDescent="0.35">
      <c r="A36" s="242" t="s">
        <v>236</v>
      </c>
      <c r="B36" s="242" t="s">
        <v>237</v>
      </c>
      <c r="C36" s="250">
        <f>(C34/('Data Inputs'!K32*'SCR Design Parameters'!C35))+1</f>
        <v>14.03521460167045</v>
      </c>
      <c r="D36" s="251" t="s">
        <v>231</v>
      </c>
      <c r="G36" s="94"/>
      <c r="H36" s="94"/>
      <c r="I36" s="94"/>
      <c r="J36" s="94"/>
      <c r="K36" s="94"/>
      <c r="L36" s="94"/>
      <c r="M36" s="94"/>
      <c r="N36" s="95"/>
      <c r="O36" s="95"/>
      <c r="P36" s="95"/>
      <c r="Q36" s="96"/>
      <c r="R36" s="96"/>
      <c r="S36" s="96"/>
    </row>
    <row r="37" spans="1:19" s="93" customFormat="1" ht="15.5" x14ac:dyDescent="0.35">
      <c r="E37" s="127"/>
      <c r="G37" s="94"/>
      <c r="H37" s="94"/>
      <c r="I37" s="94"/>
      <c r="J37" s="94">
        <f>(15.16-(0.03937*'Data Inputs'!K39)+(0.0000274*('Data Inputs'!K39)^2))</f>
        <v>5.5884399999999994</v>
      </c>
      <c r="K37" s="94" t="s">
        <v>219</v>
      </c>
      <c r="L37" s="94"/>
      <c r="M37" s="94"/>
      <c r="N37" s="95"/>
      <c r="O37" s="95"/>
      <c r="P37" s="95"/>
      <c r="Q37" s="96"/>
      <c r="R37" s="96"/>
      <c r="S37" s="96"/>
    </row>
    <row r="38" spans="1:19" s="93" customFormat="1" ht="15.5" x14ac:dyDescent="0.35">
      <c r="A38" s="101" t="s">
        <v>229</v>
      </c>
      <c r="B38" s="243"/>
      <c r="C38" s="244"/>
      <c r="D38" s="245"/>
      <c r="E38" s="127"/>
      <c r="G38" s="94"/>
      <c r="H38" s="94"/>
      <c r="I38" s="94"/>
      <c r="J38" s="94"/>
      <c r="K38" s="94"/>
      <c r="L38" s="94"/>
      <c r="M38" s="94"/>
      <c r="N38" s="95"/>
      <c r="O38" s="95"/>
      <c r="P38" s="95"/>
      <c r="Q38" s="96"/>
      <c r="R38" s="96"/>
      <c r="S38" s="96"/>
    </row>
    <row r="39" spans="1:19" s="93" customFormat="1" ht="15.5" x14ac:dyDescent="0.35">
      <c r="A39" s="243"/>
      <c r="B39" s="243"/>
      <c r="C39" s="244"/>
      <c r="D39" s="245"/>
      <c r="E39" s="127"/>
      <c r="G39" s="94"/>
      <c r="H39" s="94"/>
      <c r="I39" s="94"/>
      <c r="J39" s="94"/>
      <c r="K39" s="94"/>
      <c r="L39" s="94"/>
      <c r="M39" s="94"/>
      <c r="N39" s="95"/>
      <c r="O39" s="95"/>
      <c r="P39" s="95"/>
      <c r="Q39" s="96"/>
      <c r="R39" s="96"/>
      <c r="S39" s="96"/>
    </row>
    <row r="40" spans="1:19" s="93" customFormat="1" ht="15.5" x14ac:dyDescent="0.35">
      <c r="A40" s="90" t="s">
        <v>84</v>
      </c>
      <c r="B40" s="90" t="s">
        <v>85</v>
      </c>
      <c r="C40" s="90" t="s">
        <v>86</v>
      </c>
      <c r="D40" s="90" t="s">
        <v>87</v>
      </c>
      <c r="E40" s="127"/>
      <c r="G40" s="94"/>
      <c r="H40" s="94"/>
      <c r="I40" s="94"/>
      <c r="J40" s="94"/>
      <c r="K40" s="94"/>
      <c r="L40" s="94"/>
      <c r="M40" s="94"/>
      <c r="N40" s="95"/>
      <c r="O40" s="95"/>
      <c r="P40" s="95"/>
      <c r="Q40" s="96"/>
      <c r="R40" s="96"/>
      <c r="S40" s="96"/>
    </row>
    <row r="41" spans="1:19" s="93" customFormat="1" ht="17.5" x14ac:dyDescent="0.45">
      <c r="A41" s="239" t="s">
        <v>224</v>
      </c>
      <c r="B41" s="239" t="s">
        <v>225</v>
      </c>
      <c r="C41" s="250">
        <f>1.15*C35</f>
        <v>194.18049479166666</v>
      </c>
      <c r="D41" s="251" t="s">
        <v>226</v>
      </c>
      <c r="E41" s="127"/>
      <c r="G41" s="94"/>
      <c r="H41" s="94"/>
      <c r="I41" s="94"/>
      <c r="J41" s="94"/>
      <c r="K41" s="94"/>
      <c r="L41" s="94"/>
      <c r="M41" s="94"/>
      <c r="N41" s="95"/>
      <c r="O41" s="95"/>
      <c r="P41" s="95"/>
      <c r="Q41" s="96"/>
      <c r="R41" s="96"/>
      <c r="S41" s="96"/>
    </row>
    <row r="42" spans="1:19" s="93" customFormat="1" ht="31" x14ac:dyDescent="0.35">
      <c r="A42" s="239" t="s">
        <v>233</v>
      </c>
      <c r="B42" s="242" t="s">
        <v>230</v>
      </c>
      <c r="C42" s="276">
        <f>(C41)^0.5</f>
        <v>13.934866156216451</v>
      </c>
      <c r="D42" s="251" t="s">
        <v>231</v>
      </c>
      <c r="E42" s="127"/>
      <c r="G42" s="94"/>
      <c r="H42" s="94"/>
      <c r="I42" s="94"/>
      <c r="J42" s="94"/>
      <c r="K42" s="94"/>
      <c r="L42" s="94"/>
      <c r="M42" s="94"/>
      <c r="N42" s="95"/>
      <c r="O42" s="95"/>
      <c r="P42" s="95"/>
      <c r="Q42" s="96"/>
      <c r="R42" s="96"/>
      <c r="S42" s="96"/>
    </row>
    <row r="43" spans="1:19" s="93" customFormat="1" ht="17.5" x14ac:dyDescent="0.45">
      <c r="A43" s="239" t="s">
        <v>234</v>
      </c>
      <c r="B43" s="239" t="s">
        <v>235</v>
      </c>
      <c r="C43" s="240">
        <f>('Data Inputs'!K32+'Data Inputs'!K33)*(7+C36)+9</f>
        <v>93.140858406681801</v>
      </c>
      <c r="D43" s="241" t="s">
        <v>231</v>
      </c>
      <c r="E43" s="127"/>
      <c r="G43" s="94"/>
      <c r="H43" s="94"/>
      <c r="I43" s="94"/>
      <c r="J43" s="94"/>
      <c r="K43" s="94"/>
      <c r="L43" s="94"/>
      <c r="M43" s="94"/>
      <c r="N43" s="95"/>
      <c r="O43" s="95"/>
      <c r="P43" s="95"/>
      <c r="Q43" s="96"/>
      <c r="R43" s="96"/>
      <c r="S43" s="96"/>
    </row>
    <row r="44" spans="1:19" s="93" customFormat="1" ht="15.5" x14ac:dyDescent="0.35">
      <c r="E44" s="127"/>
      <c r="G44" s="94"/>
      <c r="H44" s="94"/>
      <c r="I44" s="94"/>
      <c r="J44" s="94"/>
      <c r="K44" s="94"/>
      <c r="L44" s="94"/>
      <c r="M44" s="94"/>
      <c r="N44" s="95"/>
      <c r="O44" s="95"/>
      <c r="P44" s="95"/>
      <c r="Q44" s="96"/>
      <c r="R44" s="96"/>
      <c r="S44" s="96"/>
    </row>
    <row r="45" spans="1:19" s="93" customFormat="1" ht="15.5" x14ac:dyDescent="0.35">
      <c r="A45" s="128"/>
      <c r="B45" s="128"/>
      <c r="C45" s="202"/>
      <c r="D45" s="203"/>
      <c r="E45" s="105"/>
      <c r="G45" s="94"/>
      <c r="H45" s="94"/>
      <c r="I45" s="94"/>
      <c r="J45" s="94"/>
      <c r="K45" s="94"/>
      <c r="L45" s="94"/>
      <c r="M45" s="94"/>
      <c r="N45" s="95"/>
      <c r="O45" s="95"/>
      <c r="P45" s="95"/>
      <c r="Q45" s="96"/>
      <c r="R45" s="96"/>
      <c r="S45" s="96"/>
    </row>
    <row r="46" spans="1:19" s="93" customFormat="1" ht="15.5" x14ac:dyDescent="0.35">
      <c r="A46" s="101" t="s">
        <v>37</v>
      </c>
      <c r="B46" s="101"/>
      <c r="C46" s="102"/>
      <c r="G46" s="94"/>
      <c r="H46" s="94"/>
      <c r="I46" s="94"/>
      <c r="J46" s="94"/>
      <c r="K46" s="94"/>
      <c r="L46" s="94"/>
      <c r="M46" s="94"/>
      <c r="N46" s="95"/>
      <c r="O46" s="95"/>
      <c r="P46" s="95"/>
      <c r="Q46" s="96"/>
      <c r="R46" s="96"/>
      <c r="S46" s="96"/>
    </row>
    <row r="47" spans="1:19" s="93" customFormat="1" ht="15.5" x14ac:dyDescent="0.35">
      <c r="A47" s="100" t="s">
        <v>27</v>
      </c>
      <c r="B47" s="103" t="str">
        <f>IF('Data Inputs'!P46=1,"Ammonia","Urea")</f>
        <v>Urea</v>
      </c>
      <c r="C47" s="495" t="s">
        <v>88</v>
      </c>
      <c r="D47" s="495"/>
      <c r="E47" s="103">
        <f>IF('Data Inputs'!P46=2, 60.06, 17.03)</f>
        <v>60.06</v>
      </c>
      <c r="F47" s="104" t="s">
        <v>72</v>
      </c>
      <c r="G47" s="94"/>
      <c r="H47" s="94"/>
      <c r="I47" s="94"/>
      <c r="J47" s="94">
        <f>IF('Data Inputs'!P46=1,1,2)</f>
        <v>2</v>
      </c>
      <c r="K47" s="94">
        <f>IF('Data Inputs'!P47=1,71,56)</f>
        <v>56</v>
      </c>
      <c r="L47" s="94"/>
      <c r="M47" s="94"/>
      <c r="N47" s="95"/>
      <c r="O47" s="95"/>
      <c r="P47" s="95"/>
      <c r="Q47" s="96"/>
      <c r="R47" s="96"/>
      <c r="S47" s="96"/>
    </row>
    <row r="48" spans="1:19" s="93" customFormat="1" ht="17.5" x14ac:dyDescent="0.35">
      <c r="A48" s="100"/>
      <c r="B48" s="129"/>
      <c r="C48" s="392"/>
      <c r="D48" s="392" t="s">
        <v>126</v>
      </c>
      <c r="E48" s="103">
        <f>'Data Inputs'!C42</f>
        <v>71</v>
      </c>
      <c r="F48" s="104" t="s">
        <v>243</v>
      </c>
      <c r="G48" s="94"/>
      <c r="H48" s="94"/>
      <c r="I48" s="94"/>
      <c r="J48" s="94"/>
      <c r="K48" s="94"/>
      <c r="L48" s="94"/>
      <c r="M48" s="94"/>
      <c r="N48" s="95"/>
      <c r="O48" s="95"/>
      <c r="P48" s="95"/>
      <c r="Q48" s="96"/>
      <c r="R48" s="96"/>
      <c r="S48" s="96"/>
    </row>
    <row r="49" spans="1:19" s="93" customFormat="1" ht="15.5" x14ac:dyDescent="0.35">
      <c r="A49" s="100"/>
      <c r="B49" s="100"/>
      <c r="C49" s="105"/>
      <c r="D49" s="106"/>
      <c r="E49" s="106"/>
      <c r="F49" s="105"/>
      <c r="G49" s="94"/>
      <c r="H49" s="94"/>
      <c r="I49" s="94"/>
      <c r="J49" s="94"/>
      <c r="K49" s="94"/>
      <c r="L49" s="94"/>
      <c r="M49" s="94"/>
      <c r="N49" s="95"/>
      <c r="O49" s="95"/>
      <c r="P49" s="95"/>
      <c r="Q49" s="96"/>
      <c r="R49" s="96"/>
      <c r="S49" s="96"/>
    </row>
    <row r="50" spans="1:19" s="93" customFormat="1" ht="15.5" x14ac:dyDescent="0.35">
      <c r="A50" s="107" t="s">
        <v>84</v>
      </c>
      <c r="B50" s="107" t="s">
        <v>85</v>
      </c>
      <c r="C50" s="107" t="s">
        <v>86</v>
      </c>
      <c r="D50" s="486" t="s">
        <v>87</v>
      </c>
      <c r="E50" s="487"/>
      <c r="F50" s="487"/>
      <c r="G50" s="94"/>
      <c r="H50" s="94"/>
      <c r="I50" s="94"/>
      <c r="J50" s="94"/>
      <c r="K50" s="94"/>
      <c r="L50" s="94"/>
      <c r="M50" s="94"/>
      <c r="N50" s="95"/>
      <c r="O50" s="95"/>
      <c r="P50" s="95"/>
      <c r="Q50" s="96"/>
      <c r="R50" s="96"/>
      <c r="S50" s="96"/>
    </row>
    <row r="51" spans="1:19" s="93" customFormat="1" ht="17.5" x14ac:dyDescent="0.45">
      <c r="A51" s="197" t="s">
        <v>71</v>
      </c>
      <c r="B51" s="197" t="s">
        <v>264</v>
      </c>
      <c r="C51" s="196">
        <f>('Data Inputs'!C33*'SCR Design Parameters'!C6*('SCR Design Parameters'!C12/100)*'Data Inputs'!C35*'SCR Design Parameters'!E47)/(46.01)</f>
        <v>122.73435919365357</v>
      </c>
      <c r="D51" s="480" t="s">
        <v>5</v>
      </c>
      <c r="E51" s="481"/>
      <c r="F51" s="481"/>
      <c r="G51" s="94"/>
      <c r="H51" s="94"/>
      <c r="I51" s="94"/>
      <c r="J51" s="94"/>
      <c r="K51" s="94"/>
      <c r="L51" s="94"/>
      <c r="M51" s="94"/>
      <c r="N51" s="95"/>
      <c r="O51" s="95"/>
      <c r="P51" s="95"/>
      <c r="Q51" s="96"/>
      <c r="R51" s="96"/>
      <c r="S51" s="96"/>
    </row>
    <row r="52" spans="1:19" s="93" customFormat="1" ht="17.5" x14ac:dyDescent="0.45">
      <c r="A52" s="192" t="s">
        <v>73</v>
      </c>
      <c r="B52" s="109" t="s">
        <v>173</v>
      </c>
      <c r="C52" s="60">
        <f>C51/('Data Inputs'!C41/100)</f>
        <v>245.46871838730715</v>
      </c>
      <c r="D52" s="480" t="s">
        <v>5</v>
      </c>
      <c r="E52" s="481"/>
      <c r="F52" s="482"/>
      <c r="G52" s="94"/>
      <c r="H52" s="94"/>
      <c r="I52" s="94"/>
      <c r="J52" s="94"/>
      <c r="K52" s="94"/>
      <c r="L52" s="94"/>
      <c r="M52" s="94"/>
      <c r="N52" s="95"/>
      <c r="O52" s="95"/>
      <c r="P52" s="95"/>
      <c r="Q52" s="96"/>
      <c r="R52" s="96"/>
      <c r="S52" s="96"/>
    </row>
    <row r="53" spans="1:19" s="93" customFormat="1" ht="17.5" x14ac:dyDescent="0.45">
      <c r="A53" s="193"/>
      <c r="B53" s="111" t="s">
        <v>147</v>
      </c>
      <c r="C53" s="58">
        <f>(C52*7.4805/E48)</f>
        <v>25.862376730933114</v>
      </c>
      <c r="D53" s="480" t="s">
        <v>28</v>
      </c>
      <c r="E53" s="481"/>
      <c r="F53" s="482"/>
      <c r="G53" s="94"/>
      <c r="H53" s="94"/>
      <c r="I53" s="94"/>
      <c r="J53" s="94"/>
      <c r="K53" s="94"/>
      <c r="L53" s="94"/>
      <c r="M53" s="94"/>
      <c r="N53" s="95"/>
      <c r="O53" s="95"/>
      <c r="P53" s="95"/>
      <c r="Q53" s="96"/>
      <c r="R53" s="96"/>
      <c r="S53" s="96"/>
    </row>
    <row r="54" spans="1:19" s="93" customFormat="1" ht="31.5" customHeight="1" x14ac:dyDescent="0.35">
      <c r="A54" s="194" t="s">
        <v>77</v>
      </c>
      <c r="B54" s="195" t="s">
        <v>174</v>
      </c>
      <c r="C54" s="61">
        <f>C53*'Data Inputs'!C43*24</f>
        <v>18620.91124627184</v>
      </c>
      <c r="D54" s="483" t="str">
        <f>"gallons (storage needed to store a "&amp; 'Data Inputs'!C43 &amp;" day reagent supply)"</f>
        <v>gallons (storage needed to store a 30 day reagent supply)</v>
      </c>
      <c r="E54" s="484"/>
      <c r="F54" s="485"/>
      <c r="G54" s="94"/>
      <c r="H54" s="94"/>
      <c r="I54" s="94"/>
      <c r="J54" s="94"/>
      <c r="K54" s="94"/>
      <c r="L54" s="94"/>
      <c r="M54" s="94"/>
      <c r="N54" s="95"/>
      <c r="O54" s="95"/>
      <c r="P54" s="95"/>
      <c r="Q54" s="96"/>
      <c r="R54" s="96"/>
      <c r="S54" s="96"/>
    </row>
    <row r="55" spans="1:19" s="93" customFormat="1" ht="15.5" x14ac:dyDescent="0.35">
      <c r="A55" s="100"/>
      <c r="B55" s="100"/>
      <c r="C55" s="112"/>
      <c r="G55" s="94"/>
      <c r="H55" s="94"/>
      <c r="I55" s="94"/>
      <c r="J55" s="94"/>
      <c r="K55" s="94"/>
      <c r="L55" s="94"/>
      <c r="M55" s="94"/>
      <c r="N55" s="95"/>
      <c r="O55" s="95"/>
      <c r="P55" s="95"/>
      <c r="Q55" s="96"/>
      <c r="R55" s="96"/>
      <c r="S55" s="96"/>
    </row>
    <row r="56" spans="1:19" s="93" customFormat="1" ht="15.5" x14ac:dyDescent="0.35">
      <c r="A56" s="101" t="s">
        <v>110</v>
      </c>
      <c r="B56" s="101"/>
      <c r="G56" s="94"/>
      <c r="H56" s="94"/>
      <c r="I56" s="94"/>
      <c r="J56" s="94"/>
      <c r="K56" s="94"/>
      <c r="L56" s="94"/>
      <c r="M56" s="94"/>
      <c r="N56" s="95"/>
      <c r="O56" s="95"/>
      <c r="P56" s="95"/>
      <c r="Q56" s="96"/>
      <c r="R56" s="96"/>
      <c r="S56" s="96"/>
    </row>
    <row r="57" spans="1:19" s="93" customFormat="1" ht="15.5" x14ac:dyDescent="0.35">
      <c r="A57" s="101"/>
      <c r="B57" s="101"/>
      <c r="G57" s="94"/>
      <c r="H57" s="94"/>
      <c r="I57" s="94"/>
      <c r="J57" s="94"/>
      <c r="K57" s="94"/>
      <c r="L57" s="94"/>
      <c r="M57" s="94"/>
      <c r="N57" s="95"/>
      <c r="O57" s="95"/>
      <c r="P57" s="95"/>
      <c r="Q57" s="96"/>
      <c r="R57" s="96"/>
      <c r="S57" s="96"/>
    </row>
    <row r="58" spans="1:19" s="93" customFormat="1" ht="15.5" x14ac:dyDescent="0.35">
      <c r="A58" s="107" t="s">
        <v>84</v>
      </c>
      <c r="B58" s="107" t="s">
        <v>85</v>
      </c>
      <c r="C58" s="391" t="s">
        <v>86</v>
      </c>
      <c r="D58" s="113"/>
      <c r="G58" s="94"/>
      <c r="H58" s="94"/>
      <c r="I58" s="94"/>
      <c r="J58" s="94"/>
      <c r="K58" s="94"/>
      <c r="L58" s="94"/>
      <c r="M58" s="94"/>
      <c r="N58" s="95"/>
      <c r="O58" s="95"/>
      <c r="P58" s="95"/>
      <c r="Q58" s="96"/>
      <c r="R58" s="96"/>
      <c r="S58" s="96"/>
    </row>
    <row r="59" spans="1:19" s="93" customFormat="1" ht="18" customHeight="1" x14ac:dyDescent="0.35">
      <c r="A59" s="108" t="s">
        <v>101</v>
      </c>
      <c r="B59" s="108" t="s">
        <v>267</v>
      </c>
      <c r="C59" s="146">
        <f>(('Data Inputs'!C54/100)*((1+'Data Inputs'!C54/100)^'Data Inputs'!C39))/(((1+'Data Inputs'!C54/100)^'Data Inputs'!C39)-1)</f>
        <v>8.0242587190691314E-2</v>
      </c>
      <c r="G59" s="94"/>
      <c r="H59" s="94"/>
      <c r="I59" s="94"/>
      <c r="J59" s="94"/>
      <c r="K59" s="94"/>
      <c r="L59" s="94"/>
      <c r="M59" s="94"/>
      <c r="N59" s="95"/>
      <c r="O59" s="95"/>
      <c r="P59" s="95"/>
      <c r="Q59" s="96"/>
      <c r="R59" s="96"/>
      <c r="S59" s="96"/>
    </row>
    <row r="60" spans="1:19" s="93" customFormat="1" ht="15.5" x14ac:dyDescent="0.35">
      <c r="A60" s="110"/>
      <c r="B60" s="110" t="s">
        <v>8</v>
      </c>
      <c r="C60" s="147"/>
      <c r="G60" s="94"/>
      <c r="H60" s="94"/>
      <c r="I60" s="94"/>
      <c r="J60" s="94"/>
      <c r="K60" s="94"/>
      <c r="L60" s="94"/>
      <c r="M60" s="94"/>
      <c r="N60" s="95"/>
      <c r="O60" s="95"/>
      <c r="P60" s="95"/>
      <c r="Q60" s="96"/>
      <c r="R60" s="96"/>
      <c r="S60" s="96"/>
    </row>
    <row r="61" spans="1:19" s="93" customFormat="1" ht="15.5" x14ac:dyDescent="0.35">
      <c r="A61" s="100"/>
      <c r="B61" s="100"/>
      <c r="G61" s="94"/>
      <c r="H61" s="94"/>
      <c r="I61" s="94"/>
      <c r="J61" s="94"/>
      <c r="K61" s="94"/>
      <c r="L61" s="94"/>
      <c r="M61" s="94"/>
      <c r="N61" s="95"/>
      <c r="O61" s="95"/>
      <c r="P61" s="95"/>
      <c r="Q61" s="96"/>
      <c r="R61" s="96"/>
      <c r="S61" s="96"/>
    </row>
    <row r="62" spans="1:19" s="93" customFormat="1" ht="15.5" x14ac:dyDescent="0.35">
      <c r="A62" s="90" t="s">
        <v>228</v>
      </c>
      <c r="B62" s="90" t="s">
        <v>85</v>
      </c>
      <c r="C62" s="90" t="s">
        <v>86</v>
      </c>
      <c r="D62" s="90" t="s">
        <v>87</v>
      </c>
      <c r="G62" s="94"/>
      <c r="H62" s="94"/>
      <c r="I62" s="94"/>
      <c r="J62" s="94"/>
      <c r="K62" s="94"/>
      <c r="L62" s="94"/>
      <c r="M62" s="94"/>
      <c r="N62" s="95"/>
      <c r="O62" s="95"/>
      <c r="P62" s="95"/>
      <c r="Q62" s="96"/>
      <c r="R62" s="96"/>
      <c r="S62" s="96"/>
    </row>
    <row r="63" spans="1:19" s="93" customFormat="1" ht="15.5" x14ac:dyDescent="0.35">
      <c r="A63" s="114" t="s">
        <v>38</v>
      </c>
      <c r="B63" s="114"/>
      <c r="C63" s="62"/>
      <c r="D63" s="140"/>
      <c r="G63" s="94"/>
      <c r="H63" s="94"/>
      <c r="I63" s="94"/>
      <c r="J63" s="94"/>
      <c r="K63" s="94"/>
      <c r="L63" s="94"/>
      <c r="M63" s="94"/>
      <c r="N63" s="95"/>
      <c r="O63" s="95"/>
      <c r="P63" s="95"/>
      <c r="Q63" s="96"/>
      <c r="R63" s="96"/>
      <c r="S63" s="96"/>
    </row>
    <row r="64" spans="1:19" s="93" customFormat="1" ht="18.75" customHeight="1" x14ac:dyDescent="0.35">
      <c r="A64" s="385" t="s">
        <v>307</v>
      </c>
      <c r="B64" s="200" t="s">
        <v>176</v>
      </c>
      <c r="C64" s="63">
        <f>('Data Inputs'!C10*1000*0.0056*('SCR Design Parameters'!C19*'SCR Design Parameters'!C9)^0.43)*(IF('Data Inputs'!P8=3, 0.1, 1))</f>
        <v>304.32344829294385</v>
      </c>
      <c r="D64" s="139" t="s">
        <v>301</v>
      </c>
      <c r="G64" s="94"/>
      <c r="H64" s="94"/>
      <c r="I64" s="94"/>
      <c r="J64" s="94"/>
      <c r="K64" s="94"/>
      <c r="L64" s="94"/>
      <c r="M64" s="94"/>
      <c r="N64" s="95"/>
      <c r="O64" s="95"/>
      <c r="P64" s="95"/>
      <c r="Q64" s="96"/>
      <c r="R64" s="96"/>
      <c r="S64" s="96"/>
    </row>
    <row r="65" spans="1:19" s="93" customFormat="1" ht="15.5" x14ac:dyDescent="0.35">
      <c r="A65" s="193"/>
      <c r="B65" s="193" t="str">
        <f>IF('Data Inputs'!P8=2, "where A = Bmw for utility boilers", "where A = (0.1 x QB) for industrial boilers.")</f>
        <v>where A = (0.1 x QB) for industrial boilers.</v>
      </c>
      <c r="C65" s="137"/>
      <c r="D65" s="138"/>
      <c r="G65" s="94"/>
      <c r="H65" s="94"/>
      <c r="I65" s="94"/>
      <c r="J65" s="94"/>
      <c r="K65" s="94"/>
      <c r="L65" s="94"/>
      <c r="M65" s="94"/>
      <c r="N65" s="95"/>
      <c r="O65" s="95"/>
      <c r="P65" s="95"/>
      <c r="Q65" s="96"/>
      <c r="R65" s="96"/>
      <c r="S65" s="96"/>
    </row>
  </sheetData>
  <mergeCells count="12">
    <mergeCell ref="E19:F19"/>
    <mergeCell ref="A3:F3"/>
    <mergeCell ref="A1:F1"/>
    <mergeCell ref="E21:F24"/>
    <mergeCell ref="C47:D47"/>
    <mergeCell ref="D53:F53"/>
    <mergeCell ref="D54:F54"/>
    <mergeCell ref="D50:F50"/>
    <mergeCell ref="D51:F51"/>
    <mergeCell ref="E20:F20"/>
    <mergeCell ref="A25:D25"/>
    <mergeCell ref="D52:F52"/>
  </mergeCells>
  <pageMargins left="0.7" right="0.7" top="0.75" bottom="0.75" header="0.3" footer="0.3"/>
  <pageSetup scale="75" orientation="landscape" r:id="rId1"/>
  <rowBreaks count="1" manualBreakCount="1">
    <brk id="4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Y105"/>
  <sheetViews>
    <sheetView showGridLines="0" view="pageBreakPreview" topLeftCell="A53" zoomScale="70" zoomScaleNormal="100" zoomScaleSheetLayoutView="70" workbookViewId="0">
      <selection activeCell="C102" sqref="C102"/>
    </sheetView>
  </sheetViews>
  <sheetFormatPr defaultRowHeight="14.5" x14ac:dyDescent="0.35"/>
  <cols>
    <col min="1" max="1" width="41.81640625" customWidth="1"/>
    <col min="2" max="2" width="55.1796875" customWidth="1"/>
    <col min="3" max="3" width="19.1796875" customWidth="1"/>
    <col min="4" max="4" width="25.1796875" customWidth="1"/>
    <col min="5" max="5" width="16.81640625" customWidth="1"/>
    <col min="6" max="6" width="8" style="44" customWidth="1"/>
    <col min="7" max="7" width="30.453125" style="44" customWidth="1"/>
    <col min="8" max="8" width="22.453125" style="44" customWidth="1"/>
    <col min="9" max="9" width="9.1796875" style="44" customWidth="1"/>
    <col min="10" max="10" width="19.81640625" style="44" customWidth="1"/>
    <col min="11" max="15" width="9.1796875" style="44" customWidth="1"/>
    <col min="16" max="24" width="9.1796875" style="44"/>
    <col min="25" max="25" width="9.1796875" style="35"/>
  </cols>
  <sheetData>
    <row r="1" spans="1:25" s="13" customFormat="1" ht="23.5" x14ac:dyDescent="0.55000000000000004">
      <c r="A1" s="446" t="s">
        <v>104</v>
      </c>
      <c r="B1" s="446"/>
      <c r="C1" s="446"/>
      <c r="D1" s="446"/>
      <c r="E1" s="446"/>
      <c r="F1" s="54"/>
      <c r="G1" s="54"/>
      <c r="H1" s="54"/>
      <c r="I1" s="54"/>
      <c r="J1" s="54"/>
      <c r="K1" s="54"/>
      <c r="L1" s="54"/>
      <c r="M1" s="54"/>
      <c r="N1" s="54"/>
      <c r="O1" s="54"/>
      <c r="P1" s="54"/>
      <c r="Q1" s="54"/>
      <c r="R1" s="54"/>
      <c r="S1" s="54"/>
      <c r="T1" s="54"/>
      <c r="U1" s="54"/>
      <c r="V1" s="54"/>
      <c r="W1" s="54"/>
      <c r="X1" s="54"/>
      <c r="Y1" s="51"/>
    </row>
    <row r="3" spans="1:25" ht="18.5" x14ac:dyDescent="0.45">
      <c r="A3" s="503" t="s">
        <v>105</v>
      </c>
      <c r="B3" s="503"/>
      <c r="C3" s="503"/>
      <c r="D3" s="503"/>
      <c r="E3" s="503"/>
      <c r="G3" s="187">
        <f>IF('Data Inputs'!C24&lt;500, 1,'SCR Design Parameters'!C21)</f>
        <v>1</v>
      </c>
      <c r="H3" s="326" t="s">
        <v>131</v>
      </c>
    </row>
    <row r="4" spans="1:25" s="93" customFormat="1" ht="15.5" hidden="1" x14ac:dyDescent="0.35">
      <c r="A4" s="127"/>
      <c r="B4" s="198"/>
      <c r="C4" s="198"/>
      <c r="D4" s="292"/>
      <c r="F4" s="293"/>
      <c r="G4" s="293"/>
      <c r="H4" s="293"/>
      <c r="I4" s="293"/>
      <c r="J4" s="293"/>
      <c r="K4" s="293"/>
      <c r="L4" s="293"/>
      <c r="M4" s="293"/>
      <c r="N4" s="293"/>
      <c r="O4" s="293"/>
      <c r="P4" s="293"/>
      <c r="Q4" s="293"/>
      <c r="R4" s="293"/>
      <c r="S4" s="293"/>
      <c r="T4" s="293"/>
      <c r="U4" s="293"/>
      <c r="V4" s="293"/>
      <c r="W4" s="293"/>
      <c r="X4" s="293"/>
      <c r="Y4" s="294"/>
    </row>
    <row r="5" spans="1:25" s="93" customFormat="1" ht="15.5" hidden="1" x14ac:dyDescent="0.35">
      <c r="A5" s="498" t="s">
        <v>188</v>
      </c>
      <c r="B5" s="499"/>
      <c r="C5" s="499"/>
      <c r="D5" s="499"/>
      <c r="E5" s="500"/>
      <c r="F5" s="293"/>
      <c r="G5" s="293"/>
      <c r="H5" s="293"/>
      <c r="I5" s="293"/>
      <c r="J5" s="293"/>
      <c r="K5" s="293"/>
      <c r="L5" s="293"/>
      <c r="M5" s="293"/>
      <c r="N5" s="293"/>
      <c r="O5" s="293"/>
      <c r="P5" s="293"/>
      <c r="Q5" s="293"/>
      <c r="R5" s="293"/>
      <c r="S5" s="293"/>
      <c r="T5" s="293"/>
      <c r="U5" s="293"/>
      <c r="V5" s="293"/>
      <c r="W5" s="293"/>
      <c r="X5" s="293"/>
      <c r="Y5" s="294"/>
    </row>
    <row r="6" spans="1:25" s="93" customFormat="1" ht="15.5" hidden="1" x14ac:dyDescent="0.35">
      <c r="A6" s="502" t="s">
        <v>275</v>
      </c>
      <c r="B6" s="502"/>
      <c r="C6" s="502"/>
      <c r="D6" s="502"/>
      <c r="E6" s="502"/>
      <c r="F6" s="293"/>
      <c r="G6" s="295" t="s">
        <v>254</v>
      </c>
      <c r="H6" s="295" t="s">
        <v>253</v>
      </c>
      <c r="I6" s="295"/>
      <c r="J6" s="293"/>
      <c r="K6" s="293"/>
      <c r="L6" s="293"/>
      <c r="M6" s="293"/>
      <c r="N6" s="293"/>
      <c r="O6" s="293"/>
      <c r="P6" s="293"/>
      <c r="Q6" s="293"/>
      <c r="R6" s="293"/>
      <c r="S6" s="293"/>
      <c r="T6" s="293"/>
      <c r="U6" s="293"/>
      <c r="V6" s="293"/>
      <c r="W6" s="293"/>
      <c r="X6" s="293"/>
      <c r="Y6" s="294"/>
    </row>
    <row r="7" spans="1:25" s="93" customFormat="1" ht="18.5" hidden="1" x14ac:dyDescent="0.45">
      <c r="A7" s="497" t="s">
        <v>287</v>
      </c>
      <c r="B7" s="497"/>
      <c r="C7" s="497"/>
      <c r="D7" s="497"/>
      <c r="E7" s="497"/>
      <c r="F7" s="293"/>
      <c r="G7" s="296">
        <f>IF(AND('Data Inputs'!S8=2,'Data Inputs'!P8=2,'Data Inputs'!P17&gt;2,'Data Inputs'!C10&lt;500.1),(80000*((200/'Data Inputs'!C10)^0.35)*'Data Inputs'!C10*G3*0.8), 0)</f>
        <v>0</v>
      </c>
      <c r="H7" s="296">
        <f>IF(AND('Data Inputs'!S8=3,'Data Inputs'!P8=2,'Data Inputs'!P17&gt;2,'Data Inputs'!C10&lt;500.1),(80000*((200/'Data Inputs'!C10)^0.35)*'Data Inputs'!C10*G3*'Data Inputs'!D7), 0)</f>
        <v>0</v>
      </c>
      <c r="I7" s="296"/>
      <c r="J7" s="293"/>
      <c r="K7" s="293"/>
      <c r="L7" s="293"/>
      <c r="M7" s="293"/>
      <c r="N7" s="293"/>
      <c r="O7" s="293"/>
      <c r="P7" s="293"/>
      <c r="Q7" s="293"/>
      <c r="R7" s="293"/>
      <c r="S7" s="293"/>
      <c r="T7" s="293"/>
      <c r="U7" s="293"/>
      <c r="V7" s="293"/>
      <c r="W7" s="293"/>
      <c r="X7" s="293"/>
      <c r="Y7" s="294"/>
    </row>
    <row r="8" spans="1:25" s="299" customFormat="1" ht="15.5" hidden="1" x14ac:dyDescent="0.35">
      <c r="A8" s="502" t="s">
        <v>187</v>
      </c>
      <c r="B8" s="502"/>
      <c r="C8" s="502"/>
      <c r="D8" s="502"/>
      <c r="E8" s="502"/>
      <c r="F8" s="297"/>
      <c r="G8" s="296"/>
      <c r="H8" s="296"/>
      <c r="I8" s="296"/>
      <c r="J8" s="295"/>
      <c r="K8" s="295"/>
      <c r="L8" s="295"/>
      <c r="M8" s="295"/>
      <c r="N8" s="295"/>
      <c r="O8" s="295"/>
      <c r="P8" s="295"/>
      <c r="Q8" s="295"/>
      <c r="R8" s="295"/>
      <c r="S8" s="295"/>
      <c r="T8" s="295"/>
      <c r="U8" s="295"/>
      <c r="V8" s="295"/>
      <c r="W8" s="295"/>
      <c r="X8" s="295"/>
      <c r="Y8" s="298"/>
    </row>
    <row r="9" spans="1:25" s="299" customFormat="1" ht="17.5" hidden="1" x14ac:dyDescent="0.45">
      <c r="A9" s="497" t="s">
        <v>288</v>
      </c>
      <c r="B9" s="497"/>
      <c r="C9" s="497"/>
      <c r="D9" s="497"/>
      <c r="E9" s="497"/>
      <c r="F9" s="297"/>
      <c r="G9" s="300">
        <f>IF(AND('Data Inputs'!S8=2,'Data Inputs'!P8=2, 'Data Inputs'!P17&gt;2, 'Data Inputs'!C10&gt;500), (60670*'Data Inputs'!C10*G3*0.8), 0)</f>
        <v>0</v>
      </c>
      <c r="H9" s="300">
        <f>IF(AND('Data Inputs'!S8=3,'Data Inputs'!P8=2, 'Data Inputs'!P17&gt;2, 'Data Inputs'!C10&gt;500), (60670*'Data Inputs'!C10*G3*'Data Inputs'!D7), 0)</f>
        <v>0</v>
      </c>
      <c r="I9" s="300"/>
      <c r="J9" s="297"/>
      <c r="K9" s="297"/>
      <c r="L9" s="297"/>
      <c r="M9" s="297"/>
      <c r="N9" s="297"/>
      <c r="O9" s="297"/>
      <c r="P9" s="297"/>
      <c r="Q9" s="295"/>
      <c r="R9" s="295"/>
      <c r="S9" s="295"/>
      <c r="T9" s="295"/>
      <c r="U9" s="295"/>
      <c r="V9" s="295"/>
      <c r="W9" s="295"/>
      <c r="X9" s="295"/>
      <c r="Y9" s="298"/>
    </row>
    <row r="10" spans="1:25" s="299" customFormat="1" ht="15.5" hidden="1" x14ac:dyDescent="0.35">
      <c r="A10" s="301" t="s">
        <v>186</v>
      </c>
      <c r="B10" s="301"/>
      <c r="C10" s="301"/>
      <c r="D10" s="301"/>
      <c r="E10" s="301"/>
      <c r="F10" s="295"/>
      <c r="G10" s="300"/>
      <c r="H10" s="300"/>
      <c r="I10" s="300"/>
      <c r="J10" s="297"/>
      <c r="K10" s="297"/>
      <c r="L10" s="297"/>
      <c r="M10" s="297"/>
      <c r="N10" s="297"/>
      <c r="O10" s="297"/>
      <c r="P10" s="297"/>
      <c r="Q10" s="295"/>
      <c r="R10" s="295"/>
      <c r="S10" s="295"/>
      <c r="T10" s="295"/>
      <c r="U10" s="295"/>
      <c r="V10" s="295"/>
      <c r="W10" s="295"/>
      <c r="X10" s="295"/>
      <c r="Y10" s="298"/>
    </row>
    <row r="11" spans="1:25" s="299" customFormat="1" ht="18.5" hidden="1" x14ac:dyDescent="0.45">
      <c r="A11" s="497" t="s">
        <v>293</v>
      </c>
      <c r="B11" s="497"/>
      <c r="C11" s="497"/>
      <c r="D11" s="497"/>
      <c r="E11" s="497"/>
      <c r="F11" s="295"/>
      <c r="G11" s="300">
        <f>IF(AND('Data Inputs'!S8=2,'Data Inputs'!P8=3, 'Data Inputs'!P17=3, 'Data Inputs'!C10&lt;5500.1),(7270*((2200/'Data Inputs'!C10)^0.35)*'Data Inputs'!C10*G3*0.8), 0)</f>
        <v>0</v>
      </c>
      <c r="H11" s="300">
        <f>IF(AND('Data Inputs'!S8=3,'Data Inputs'!P8=3, 'Data Inputs'!P17=3, 'Data Inputs'!C10&lt;5500.1),(7270*((2200/'Data Inputs'!C10)^0.35)*'Data Inputs'!C10*G3*'Data Inputs'!D7), 0)</f>
        <v>0</v>
      </c>
      <c r="I11" s="300"/>
      <c r="J11" s="297"/>
      <c r="K11" s="297"/>
      <c r="L11" s="297"/>
      <c r="M11" s="297"/>
      <c r="N11" s="297"/>
      <c r="O11" s="297"/>
      <c r="P11" s="297"/>
      <c r="Q11" s="295"/>
      <c r="R11" s="295"/>
      <c r="S11" s="295"/>
      <c r="T11" s="295"/>
      <c r="U11" s="295"/>
      <c r="V11" s="295"/>
      <c r="W11" s="295"/>
      <c r="X11" s="295"/>
      <c r="Y11" s="298"/>
    </row>
    <row r="12" spans="1:25" s="299" customFormat="1" ht="15.5" hidden="1" x14ac:dyDescent="0.35">
      <c r="A12" s="301" t="s">
        <v>185</v>
      </c>
      <c r="B12" s="301"/>
      <c r="C12" s="301"/>
      <c r="D12" s="301"/>
      <c r="E12" s="301"/>
      <c r="F12" s="295"/>
      <c r="G12" s="300"/>
      <c r="H12" s="300"/>
      <c r="I12" s="300"/>
      <c r="J12" s="297" t="s">
        <v>52</v>
      </c>
      <c r="K12" s="297"/>
      <c r="L12" s="297"/>
      <c r="M12" s="297"/>
      <c r="N12" s="297"/>
      <c r="O12" s="297"/>
      <c r="P12" s="297"/>
      <c r="Q12" s="295"/>
      <c r="R12" s="295"/>
      <c r="S12" s="295"/>
      <c r="T12" s="295"/>
      <c r="U12" s="295"/>
      <c r="V12" s="295"/>
      <c r="W12" s="295"/>
      <c r="X12" s="295"/>
      <c r="Y12" s="298"/>
    </row>
    <row r="13" spans="1:25" s="299" customFormat="1" ht="18.5" hidden="1" x14ac:dyDescent="0.45">
      <c r="A13" s="497" t="s">
        <v>294</v>
      </c>
      <c r="B13" s="497"/>
      <c r="C13" s="497"/>
      <c r="D13" s="497"/>
      <c r="E13" s="497"/>
      <c r="F13" s="295"/>
      <c r="G13" s="300">
        <f>IF(AND('Data Inputs'!S8=2,'Data Inputs'!P8=3, 'Data Inputs'!P17=4, 'Data Inputs'!C10&lt;4100.1),(9760*((1640/'Data Inputs'!C10)^0.35)*'Data Inputs'!C10*G3*0.8), 0)</f>
        <v>0</v>
      </c>
      <c r="H13" s="300">
        <f>IF(AND('Data Inputs'!S8=3,'Data Inputs'!P8=3, 'Data Inputs'!P17=4, 'Data Inputs'!C10&lt;4100.1),(9760*((1640/'Data Inputs'!C10)^0.35)*'Data Inputs'!C10*G3*'Data Inputs'!D7), 0)</f>
        <v>0</v>
      </c>
      <c r="I13" s="300"/>
      <c r="J13" s="297"/>
      <c r="K13" s="297"/>
      <c r="L13" s="297"/>
      <c r="M13" s="297"/>
      <c r="N13" s="297"/>
      <c r="O13" s="297"/>
      <c r="P13" s="297"/>
      <c r="Q13" s="295"/>
      <c r="R13" s="295"/>
      <c r="S13" s="295"/>
      <c r="T13" s="295"/>
      <c r="U13" s="295"/>
      <c r="V13" s="295"/>
      <c r="W13" s="295"/>
      <c r="X13" s="295"/>
      <c r="Y13" s="298"/>
    </row>
    <row r="14" spans="1:25" s="299" customFormat="1" ht="18.75" hidden="1" customHeight="1" x14ac:dyDescent="0.35">
      <c r="A14" s="502" t="s">
        <v>184</v>
      </c>
      <c r="B14" s="502"/>
      <c r="C14" s="502"/>
      <c r="D14" s="502"/>
      <c r="E14" s="502"/>
      <c r="F14" s="295"/>
      <c r="G14" s="300"/>
      <c r="H14" s="300"/>
      <c r="I14" s="300"/>
      <c r="J14" s="297"/>
      <c r="K14" s="297"/>
      <c r="L14" s="297"/>
      <c r="M14" s="297"/>
      <c r="N14" s="297"/>
      <c r="O14" s="297"/>
      <c r="P14" s="297"/>
      <c r="Q14" s="295"/>
      <c r="R14" s="295"/>
      <c r="S14" s="295"/>
      <c r="T14" s="295"/>
      <c r="U14" s="295"/>
      <c r="V14" s="295"/>
      <c r="W14" s="295"/>
      <c r="X14" s="295"/>
      <c r="Y14" s="298"/>
    </row>
    <row r="15" spans="1:25" s="299" customFormat="1" ht="17.5" hidden="1" x14ac:dyDescent="0.45">
      <c r="A15" s="497" t="s">
        <v>295</v>
      </c>
      <c r="B15" s="497"/>
      <c r="C15" s="497"/>
      <c r="D15" s="497"/>
      <c r="E15" s="497"/>
      <c r="F15" s="295"/>
      <c r="G15" s="300">
        <f>IF(AND('Data Inputs'!S8=2,'Data Inputs'!P8=3, 'Data Inputs'!P17=3, 'Data Inputs'!C10&gt;5500),(5275*'Data Inputs'!C10*G3*0.8), 0)</f>
        <v>0</v>
      </c>
      <c r="H15" s="300">
        <f>IF(AND('Data Inputs'!S8=3,'Data Inputs'!P8=3, 'Data Inputs'!P17=3, 'Data Inputs'!C10&gt;5500),(5275*'Data Inputs'!C10*G3*'Data Inputs'!D7), 0)</f>
        <v>0</v>
      </c>
      <c r="I15" s="300"/>
      <c r="J15" s="297"/>
      <c r="K15" s="297"/>
      <c r="L15" s="297"/>
      <c r="M15" s="297"/>
      <c r="N15" s="297"/>
      <c r="O15" s="297"/>
      <c r="P15" s="297"/>
      <c r="Q15" s="295"/>
      <c r="R15" s="295"/>
      <c r="S15" s="295"/>
      <c r="T15" s="295"/>
      <c r="U15" s="295"/>
      <c r="V15" s="295"/>
      <c r="W15" s="295"/>
      <c r="X15" s="295"/>
      <c r="Y15" s="298"/>
    </row>
    <row r="16" spans="1:25" s="299" customFormat="1" ht="15.5" hidden="1" x14ac:dyDescent="0.35">
      <c r="A16" s="502" t="s">
        <v>183</v>
      </c>
      <c r="B16" s="502"/>
      <c r="C16" s="502"/>
      <c r="D16" s="502"/>
      <c r="E16" s="502"/>
      <c r="F16" s="295"/>
      <c r="G16" s="300"/>
      <c r="H16" s="300"/>
      <c r="I16" s="300"/>
      <c r="J16" s="297"/>
      <c r="K16" s="297"/>
      <c r="L16" s="297"/>
      <c r="M16" s="297"/>
      <c r="N16" s="297"/>
      <c r="O16" s="297"/>
      <c r="P16" s="297"/>
      <c r="Q16" s="295"/>
      <c r="R16" s="295"/>
      <c r="S16" s="295"/>
      <c r="T16" s="295"/>
      <c r="U16" s="295"/>
      <c r="V16" s="295"/>
      <c r="W16" s="295"/>
      <c r="X16" s="295"/>
      <c r="Y16" s="298"/>
    </row>
    <row r="17" spans="1:25" s="299" customFormat="1" ht="17.5" hidden="1" x14ac:dyDescent="0.45">
      <c r="A17" s="497" t="s">
        <v>296</v>
      </c>
      <c r="B17" s="497"/>
      <c r="C17" s="497"/>
      <c r="D17" s="497"/>
      <c r="E17" s="497"/>
      <c r="F17" s="295"/>
      <c r="G17" s="300">
        <f>IF(AND('Data Inputs'!S8=2,'Data Inputs'!P8=3, 'Data Inputs'!P17=4, 'Data Inputs'!C10&gt;4100), (7082*'Data Inputs'!C10*G3*0.8), 0)</f>
        <v>0</v>
      </c>
      <c r="H17" s="300">
        <f>IF(AND('Data Inputs'!S8=3,'Data Inputs'!P8=3, 'Data Inputs'!P17=4, 'Data Inputs'!C10&gt;4100), (7082*'Data Inputs'!C10*G3*'Data Inputs'!D7), 0)</f>
        <v>0</v>
      </c>
      <c r="I17" s="300"/>
      <c r="J17" s="297"/>
      <c r="K17" s="297"/>
      <c r="L17" s="297"/>
      <c r="M17" s="297"/>
      <c r="N17" s="297"/>
      <c r="O17" s="297"/>
      <c r="P17" s="297"/>
      <c r="Q17" s="295"/>
      <c r="R17" s="295"/>
      <c r="S17" s="295"/>
      <c r="T17" s="295"/>
      <c r="U17" s="295"/>
      <c r="V17" s="295"/>
      <c r="W17" s="295"/>
      <c r="X17" s="295"/>
      <c r="Y17" s="298"/>
    </row>
    <row r="18" spans="1:25" s="93" customFormat="1" ht="15.5" hidden="1" x14ac:dyDescent="0.35">
      <c r="B18" s="102"/>
      <c r="C18" s="102"/>
      <c r="F18" s="293"/>
      <c r="G18" s="302"/>
      <c r="H18" s="302"/>
      <c r="I18" s="302"/>
      <c r="J18" s="303"/>
      <c r="K18" s="303"/>
      <c r="L18" s="303"/>
      <c r="M18" s="303"/>
      <c r="N18" s="303"/>
      <c r="O18" s="293"/>
      <c r="P18" s="293"/>
      <c r="Q18" s="293"/>
      <c r="R18" s="293"/>
      <c r="S18" s="293"/>
      <c r="T18" s="293"/>
      <c r="U18" s="293"/>
      <c r="V18" s="293"/>
      <c r="W18" s="293"/>
      <c r="X18" s="293"/>
      <c r="Y18" s="294"/>
    </row>
    <row r="19" spans="1:25" s="93" customFormat="1" ht="15.5" hidden="1" x14ac:dyDescent="0.35">
      <c r="A19" s="304" t="s">
        <v>106</v>
      </c>
      <c r="B19" s="133">
        <f>(G19+H19)*('Data Inputs'!C53/'Data Inputs'!F53)</f>
        <v>0</v>
      </c>
      <c r="C19" s="133"/>
      <c r="D19" s="305" t="str">
        <f>"in "&amp;'Data Inputs'!$C$52 &amp; " dollars"</f>
        <v>in 2016 dollars</v>
      </c>
      <c r="F19" s="293"/>
      <c r="G19" s="306">
        <f>SUM(G7:G17)</f>
        <v>0</v>
      </c>
      <c r="H19" s="306">
        <f>SUM(H7:H17)</f>
        <v>0</v>
      </c>
      <c r="I19" s="302"/>
      <c r="J19" s="303"/>
      <c r="K19" s="303"/>
      <c r="L19" s="303"/>
      <c r="M19" s="303"/>
      <c r="N19" s="303"/>
      <c r="O19" s="293"/>
      <c r="P19" s="293"/>
      <c r="Q19" s="293"/>
      <c r="R19" s="293"/>
      <c r="S19" s="293"/>
      <c r="T19" s="293"/>
      <c r="U19" s="293"/>
      <c r="V19" s="293"/>
      <c r="W19" s="293"/>
      <c r="X19" s="293"/>
      <c r="Y19" s="294"/>
    </row>
    <row r="20" spans="1:25" s="93" customFormat="1" ht="15.5" x14ac:dyDescent="0.35">
      <c r="A20" s="127"/>
      <c r="B20" s="127"/>
      <c r="C20" s="127"/>
      <c r="D20" s="127"/>
      <c r="E20" s="127"/>
      <c r="F20" s="293"/>
      <c r="G20" s="303"/>
      <c r="H20" s="307"/>
      <c r="I20" s="307"/>
      <c r="J20" s="307"/>
      <c r="K20" s="307"/>
      <c r="L20" s="307"/>
      <c r="M20" s="303"/>
      <c r="N20" s="303"/>
      <c r="O20" s="293"/>
      <c r="P20" s="293"/>
      <c r="Q20" s="293"/>
      <c r="R20" s="293"/>
      <c r="S20" s="293"/>
      <c r="T20" s="293"/>
      <c r="U20" s="293"/>
      <c r="V20" s="293"/>
      <c r="W20" s="293"/>
      <c r="X20" s="293"/>
      <c r="Y20" s="294"/>
    </row>
    <row r="21" spans="1:25" s="93" customFormat="1" ht="15.5" x14ac:dyDescent="0.35">
      <c r="A21" s="498" t="s">
        <v>189</v>
      </c>
      <c r="B21" s="499"/>
      <c r="C21" s="499"/>
      <c r="D21" s="499"/>
      <c r="E21" s="500"/>
      <c r="F21" s="293"/>
      <c r="G21" s="303"/>
      <c r="H21" s="307"/>
      <c r="I21" s="307"/>
      <c r="J21" s="307"/>
      <c r="K21" s="307"/>
      <c r="L21" s="307"/>
      <c r="M21" s="303"/>
      <c r="N21" s="303"/>
      <c r="O21" s="293"/>
      <c r="P21" s="293"/>
      <c r="Q21" s="293"/>
      <c r="R21" s="293"/>
      <c r="S21" s="293"/>
      <c r="T21" s="293"/>
      <c r="U21" s="293"/>
      <c r="V21" s="293"/>
      <c r="W21" s="293"/>
      <c r="X21" s="293"/>
      <c r="Y21" s="294"/>
    </row>
    <row r="22" spans="1:25" s="299" customFormat="1" ht="15.5" x14ac:dyDescent="0.35">
      <c r="A22" s="502" t="s">
        <v>199</v>
      </c>
      <c r="B22" s="502"/>
      <c r="C22" s="502"/>
      <c r="D22" s="502"/>
      <c r="E22" s="502"/>
      <c r="F22" s="295"/>
      <c r="G22" s="297"/>
      <c r="H22" s="308"/>
      <c r="I22" s="308"/>
      <c r="J22" s="308"/>
      <c r="K22" s="308"/>
      <c r="L22" s="308"/>
      <c r="M22" s="297"/>
      <c r="N22" s="297"/>
      <c r="O22" s="295"/>
      <c r="P22" s="295"/>
      <c r="Q22" s="295"/>
      <c r="R22" s="295"/>
      <c r="S22" s="295"/>
      <c r="T22" s="295"/>
      <c r="U22" s="295"/>
      <c r="V22" s="295"/>
      <c r="W22" s="295"/>
      <c r="X22" s="295"/>
      <c r="Y22" s="298"/>
    </row>
    <row r="23" spans="1:25" s="299" customFormat="1" ht="17.5" x14ac:dyDescent="0.45">
      <c r="A23" s="497" t="s">
        <v>258</v>
      </c>
      <c r="B23" s="497"/>
      <c r="C23" s="497"/>
      <c r="D23" s="497"/>
      <c r="E23" s="497"/>
      <c r="F23" s="295"/>
      <c r="G23" s="297"/>
      <c r="H23" s="308"/>
      <c r="I23" s="308"/>
      <c r="J23" s="308"/>
      <c r="K23" s="308"/>
      <c r="L23" s="308"/>
      <c r="M23" s="308"/>
      <c r="N23" s="308"/>
      <c r="O23" s="309"/>
      <c r="P23" s="309"/>
      <c r="Q23" s="309"/>
      <c r="R23" s="309"/>
      <c r="S23" s="295"/>
      <c r="T23" s="295"/>
      <c r="U23" s="295"/>
      <c r="V23" s="295"/>
      <c r="W23" s="295"/>
      <c r="X23" s="295"/>
      <c r="Y23" s="298"/>
    </row>
    <row r="24" spans="1:25" s="93" customFormat="1" ht="15.5" x14ac:dyDescent="0.35">
      <c r="F24" s="293"/>
      <c r="G24" s="293"/>
      <c r="H24" s="293"/>
      <c r="I24" s="293"/>
      <c r="J24" s="293"/>
      <c r="K24" s="293"/>
      <c r="L24" s="293"/>
      <c r="M24" s="293"/>
      <c r="N24" s="293"/>
      <c r="O24" s="293"/>
      <c r="P24" s="293"/>
      <c r="Q24" s="293"/>
      <c r="R24" s="293"/>
      <c r="S24" s="293"/>
      <c r="T24" s="293"/>
      <c r="U24" s="293"/>
      <c r="V24" s="293"/>
      <c r="W24" s="293"/>
      <c r="X24" s="293"/>
      <c r="Y24" s="294"/>
    </row>
    <row r="25" spans="1:25" s="93" customFormat="1" ht="17.5" x14ac:dyDescent="0.45">
      <c r="A25" s="310" t="s">
        <v>162</v>
      </c>
      <c r="B25" s="130">
        <f>D39</f>
        <v>14416054.783277327</v>
      </c>
      <c r="C25" s="130"/>
      <c r="D25" s="311" t="str">
        <f>"in "&amp;'Data Inputs'!$C$52 &amp; " dollars"</f>
        <v>in 2016 dollars</v>
      </c>
      <c r="F25" s="293"/>
      <c r="G25" s="293"/>
      <c r="H25" s="293"/>
      <c r="I25" s="293"/>
      <c r="J25" s="293"/>
      <c r="K25" s="293"/>
      <c r="L25" s="293"/>
      <c r="M25" s="293"/>
      <c r="N25" s="293"/>
      <c r="O25" s="293"/>
      <c r="P25" s="293"/>
      <c r="Q25" s="293"/>
      <c r="R25" s="293"/>
      <c r="S25" s="293"/>
      <c r="T25" s="293"/>
      <c r="U25" s="293"/>
      <c r="V25" s="293"/>
      <c r="W25" s="293"/>
      <c r="X25" s="293"/>
      <c r="Y25" s="294"/>
    </row>
    <row r="26" spans="1:25" s="93" customFormat="1" ht="15.5" x14ac:dyDescent="0.35">
      <c r="A26" s="312" t="s">
        <v>164</v>
      </c>
      <c r="B26" s="136">
        <f>D47</f>
        <v>2467094.230223387</v>
      </c>
      <c r="C26" s="136"/>
      <c r="D26" s="313" t="str">
        <f>"in "&amp;'Data Inputs'!$C$52 &amp; " dollars"</f>
        <v>in 2016 dollars</v>
      </c>
      <c r="F26" s="293"/>
      <c r="G26" s="293"/>
      <c r="H26" s="293"/>
      <c r="I26" s="293"/>
      <c r="J26" s="293"/>
      <c r="K26" s="293"/>
      <c r="L26" s="293"/>
      <c r="M26" s="293"/>
      <c r="N26" s="293"/>
      <c r="O26" s="293"/>
      <c r="P26" s="293"/>
      <c r="Q26" s="293"/>
      <c r="R26" s="293"/>
      <c r="S26" s="293"/>
      <c r="T26" s="293"/>
      <c r="U26" s="293"/>
      <c r="V26" s="293"/>
      <c r="W26" s="293"/>
      <c r="X26" s="293"/>
      <c r="Y26" s="294"/>
    </row>
    <row r="27" spans="1:25" s="93" customFormat="1" ht="15.5" x14ac:dyDescent="0.35">
      <c r="A27" s="314" t="s">
        <v>163</v>
      </c>
      <c r="B27" s="131">
        <f>D55</f>
        <v>0</v>
      </c>
      <c r="C27" s="131"/>
      <c r="D27" s="313" t="str">
        <f>"in "&amp;'Data Inputs'!$C$52 &amp; " dollars"</f>
        <v>in 2016 dollars</v>
      </c>
      <c r="F27" s="293"/>
      <c r="G27" s="293"/>
      <c r="H27" s="293"/>
      <c r="I27" s="293"/>
      <c r="J27" s="293"/>
      <c r="K27" s="293"/>
      <c r="L27" s="293"/>
      <c r="M27" s="293"/>
      <c r="N27" s="293"/>
      <c r="O27" s="293"/>
      <c r="P27" s="293"/>
      <c r="Q27" s="293"/>
      <c r="R27" s="293"/>
      <c r="S27" s="293"/>
      <c r="T27" s="293"/>
      <c r="U27" s="293"/>
      <c r="V27" s="293"/>
      <c r="W27" s="293"/>
      <c r="X27" s="293"/>
      <c r="Y27" s="294"/>
    </row>
    <row r="28" spans="1:25" s="93" customFormat="1" ht="15.5" x14ac:dyDescent="0.35">
      <c r="A28" s="315" t="s">
        <v>195</v>
      </c>
      <c r="B28" s="132">
        <f>D64</f>
        <v>3327459.1925386763</v>
      </c>
      <c r="C28" s="132"/>
      <c r="D28" s="316" t="str">
        <f>"in "&amp;'Data Inputs'!$C$52 &amp; " dollars"</f>
        <v>in 2016 dollars</v>
      </c>
      <c r="F28" s="293"/>
      <c r="G28" s="293"/>
      <c r="H28" s="293"/>
      <c r="I28" s="293"/>
      <c r="J28" s="293"/>
      <c r="K28" s="293"/>
      <c r="L28" s="293"/>
      <c r="M28" s="293"/>
      <c r="N28" s="293"/>
      <c r="O28" s="293"/>
      <c r="P28" s="293"/>
      <c r="Q28" s="293"/>
      <c r="R28" s="293"/>
      <c r="S28" s="293"/>
      <c r="T28" s="293"/>
      <c r="U28" s="293"/>
      <c r="V28" s="293"/>
      <c r="W28" s="293"/>
      <c r="X28" s="293"/>
      <c r="Y28" s="294"/>
    </row>
    <row r="29" spans="1:25" s="93" customFormat="1" ht="15.5" x14ac:dyDescent="0.35">
      <c r="A29" s="304" t="s">
        <v>106</v>
      </c>
      <c r="B29" s="133">
        <f>1.3*(SUM(B25:B28))</f>
        <v>26273790.667851206</v>
      </c>
      <c r="C29" s="133"/>
      <c r="D29" s="305" t="str">
        <f>"in "&amp;'Data Inputs'!$C$52 &amp; " dollars"</f>
        <v>in 2016 dollars</v>
      </c>
      <c r="F29" s="293"/>
      <c r="G29" s="293"/>
      <c r="H29" s="293"/>
      <c r="I29" s="293"/>
      <c r="J29" s="293"/>
      <c r="K29" s="293"/>
      <c r="L29" s="293"/>
      <c r="M29" s="293"/>
      <c r="N29" s="293"/>
      <c r="O29" s="293"/>
      <c r="P29" s="293"/>
      <c r="Q29" s="293"/>
      <c r="R29" s="293"/>
      <c r="S29" s="293"/>
      <c r="T29" s="293"/>
      <c r="U29" s="293"/>
      <c r="V29" s="293"/>
      <c r="W29" s="293"/>
      <c r="X29" s="293"/>
      <c r="Y29" s="294"/>
    </row>
    <row r="30" spans="1:25" s="68" customFormat="1" ht="24.75" customHeight="1" x14ac:dyDescent="0.35">
      <c r="A30" s="496" t="str">
        <f>IF(AND('Data Inputs'!P17=2,'Data Inputs'!V11=3),"* This factor applies because the boiler burns bituminous coal and emits  equal to or greater than 3lb/MMBtu of sulfur dioxide. ", "* Not applicable - This factor applies only to coal-fired boilers that burn bituminous coal and emits equal to or greater than 3lb/MMBtu of sulfur dioxide.")</f>
        <v>* Not applicable - This factor applies only to coal-fired boilers that burn bituminous coal and emits equal to or greater than 3lb/MMBtu of sulfur dioxide.</v>
      </c>
      <c r="B30" s="496"/>
      <c r="C30" s="496"/>
      <c r="D30" s="496"/>
      <c r="F30" s="317"/>
      <c r="G30" s="317"/>
      <c r="H30" s="317"/>
      <c r="I30" s="317"/>
      <c r="J30" s="317"/>
      <c r="K30" s="317"/>
      <c r="L30" s="317"/>
      <c r="M30" s="317"/>
      <c r="N30" s="317"/>
      <c r="O30" s="317"/>
      <c r="P30" s="317"/>
      <c r="Q30" s="317"/>
      <c r="R30" s="317"/>
      <c r="S30" s="317"/>
      <c r="T30" s="317"/>
      <c r="U30" s="317"/>
      <c r="V30" s="317"/>
      <c r="W30" s="317"/>
      <c r="X30" s="317"/>
      <c r="Y30" s="318"/>
    </row>
    <row r="31" spans="1:25" s="68" customFormat="1" x14ac:dyDescent="0.35">
      <c r="B31" s="319"/>
      <c r="C31" s="319"/>
      <c r="D31" s="320"/>
      <c r="F31" s="317"/>
      <c r="G31" s="317"/>
      <c r="H31" s="317"/>
      <c r="I31" s="317"/>
      <c r="J31" s="317"/>
      <c r="K31" s="317"/>
      <c r="L31" s="317"/>
      <c r="M31" s="317"/>
      <c r="N31" s="317"/>
      <c r="O31" s="317"/>
      <c r="P31" s="317"/>
      <c r="Q31" s="317"/>
      <c r="R31" s="317"/>
      <c r="S31" s="317"/>
      <c r="T31" s="317"/>
      <c r="U31" s="317"/>
      <c r="V31" s="317"/>
      <c r="W31" s="317"/>
      <c r="X31" s="317"/>
      <c r="Y31" s="318"/>
    </row>
    <row r="32" spans="1:25" s="68" customFormat="1" x14ac:dyDescent="0.35">
      <c r="B32" s="319"/>
      <c r="C32" s="319"/>
      <c r="D32" s="320"/>
      <c r="F32" s="317"/>
      <c r="G32" s="317"/>
      <c r="H32" s="317"/>
      <c r="I32" s="317"/>
      <c r="J32" s="317"/>
      <c r="K32" s="317"/>
      <c r="L32" s="317"/>
      <c r="M32" s="317"/>
      <c r="N32" s="317"/>
      <c r="O32" s="317"/>
      <c r="P32" s="317"/>
      <c r="Q32" s="317"/>
      <c r="R32" s="317"/>
      <c r="S32" s="317"/>
      <c r="T32" s="317"/>
      <c r="U32" s="317"/>
      <c r="V32" s="317"/>
      <c r="W32" s="317"/>
      <c r="X32" s="317"/>
      <c r="Y32" s="318"/>
    </row>
    <row r="33" spans="1:25" s="93" customFormat="1" ht="17.5" x14ac:dyDescent="0.45">
      <c r="A33" s="498" t="s">
        <v>165</v>
      </c>
      <c r="B33" s="499"/>
      <c r="C33" s="499"/>
      <c r="D33" s="499"/>
      <c r="E33" s="500"/>
      <c r="F33" s="293"/>
      <c r="G33" s="293"/>
      <c r="H33" s="293"/>
      <c r="I33" s="293"/>
      <c r="J33" s="293"/>
      <c r="K33" s="293"/>
      <c r="L33" s="293"/>
      <c r="M33" s="293"/>
      <c r="N33" s="293"/>
      <c r="O33" s="293"/>
      <c r="P33" s="293"/>
      <c r="Q33" s="293"/>
      <c r="R33" s="293"/>
      <c r="S33" s="293"/>
      <c r="T33" s="293"/>
      <c r="U33" s="293"/>
      <c r="V33" s="293"/>
      <c r="W33" s="293"/>
      <c r="X33" s="293"/>
      <c r="Y33" s="294"/>
    </row>
    <row r="34" spans="1:25" s="93" customFormat="1" ht="15.5" x14ac:dyDescent="0.35">
      <c r="A34" s="501" t="s">
        <v>257</v>
      </c>
      <c r="B34" s="501"/>
      <c r="C34" s="501"/>
      <c r="D34" s="501"/>
      <c r="E34" s="501"/>
      <c r="F34" s="303"/>
      <c r="G34" s="293"/>
      <c r="H34" s="293"/>
      <c r="I34" s="293"/>
      <c r="J34" s="293"/>
      <c r="K34" s="293"/>
      <c r="L34" s="293"/>
      <c r="M34" s="293"/>
      <c r="N34" s="293"/>
      <c r="O34" s="293"/>
      <c r="P34" s="293"/>
      <c r="Q34" s="293"/>
      <c r="R34" s="293"/>
      <c r="S34" s="293"/>
      <c r="T34" s="293"/>
      <c r="U34" s="293"/>
      <c r="V34" s="293"/>
      <c r="W34" s="293"/>
      <c r="X34" s="293"/>
      <c r="Y34" s="294"/>
    </row>
    <row r="35" spans="1:25" s="93" customFormat="1" ht="18.5" x14ac:dyDescent="0.45">
      <c r="A35" s="497" t="s">
        <v>283</v>
      </c>
      <c r="B35" s="497"/>
      <c r="C35" s="497"/>
      <c r="D35" s="497"/>
      <c r="E35" s="497"/>
      <c r="F35" s="303"/>
      <c r="G35" s="321">
        <f>IF(AND('Data Inputs'!S8=2,'Data Inputs'!P8=2, 'Data Inputs'!P17=2),(270000*(('SCR Design Parameters'!C15)^0.2)*(('Data Inputs'!C10*'SCR Design Parameters'!C9*'SCR Design Parameters'!C19)^0.92)*'Cost Estimate'!G3*0.8), 0)</f>
        <v>0</v>
      </c>
      <c r="H35" s="321">
        <f>IF(AND('Data Inputs'!S8=3,'Data Inputs'!P8=2, 'Data Inputs'!P17=2),(270000*(('SCR Design Parameters'!C15)^0.2)*(('Data Inputs'!C10*'SCR Design Parameters'!C9*'SCR Design Parameters'!C19)^0.92)*'Cost Estimate'!G3*'SCR Design Parameters'!C24), 0)</f>
        <v>0</v>
      </c>
      <c r="I35" s="293"/>
      <c r="J35" s="322"/>
      <c r="K35" s="293"/>
      <c r="L35" s="293"/>
      <c r="M35" s="293"/>
      <c r="N35" s="293"/>
      <c r="O35" s="293"/>
      <c r="P35" s="293"/>
      <c r="Q35" s="293"/>
      <c r="R35" s="293"/>
      <c r="S35" s="293"/>
      <c r="T35" s="293"/>
      <c r="U35" s="293"/>
      <c r="V35" s="293"/>
      <c r="W35" s="293"/>
      <c r="X35" s="293"/>
      <c r="Y35" s="294"/>
    </row>
    <row r="36" spans="1:25" s="93" customFormat="1" ht="15.5" x14ac:dyDescent="0.35">
      <c r="A36" s="502" t="s">
        <v>193</v>
      </c>
      <c r="B36" s="502"/>
      <c r="C36" s="502"/>
      <c r="D36" s="502"/>
      <c r="E36" s="502"/>
      <c r="F36" s="303"/>
      <c r="G36" s="309"/>
      <c r="H36" s="293"/>
      <c r="I36" s="293"/>
      <c r="J36" s="293"/>
      <c r="K36" s="293"/>
      <c r="L36" s="293"/>
      <c r="M36" s="293"/>
      <c r="N36" s="293"/>
      <c r="O36" s="293"/>
      <c r="P36" s="293"/>
      <c r="Q36" s="293"/>
      <c r="R36" s="293"/>
      <c r="S36" s="293"/>
      <c r="T36" s="293"/>
      <c r="U36" s="293"/>
      <c r="V36" s="293"/>
      <c r="W36" s="293"/>
      <c r="X36" s="293"/>
      <c r="Y36" s="294"/>
    </row>
    <row r="37" spans="1:25" s="93" customFormat="1" ht="18.5" x14ac:dyDescent="0.45">
      <c r="A37" s="497" t="s">
        <v>289</v>
      </c>
      <c r="B37" s="497"/>
      <c r="C37" s="497"/>
      <c r="D37" s="497"/>
      <c r="E37" s="497"/>
      <c r="F37" s="303"/>
      <c r="G37" s="323">
        <f>IF(AND('Data Inputs'!S8=2,'Data Inputs'!P8=3, 'Data Inputs'!P17=2),(270000*(('SCR Design Parameters'!C15)^0.2)*((0.1*'Data Inputs'!C10*'SCR Design Parameters'!C19)^0.92)*'Cost Estimate'!G3*0.8), 0)</f>
        <v>0</v>
      </c>
      <c r="H37" s="323">
        <f>IF(AND('Data Inputs'!S8=3,'Data Inputs'!P8=3, 'Data Inputs'!P17=2),(270000*(('SCR Design Parameters'!C15)^0.2)*((0.1*'Data Inputs'!C10*'SCR Design Parameters'!C19)^0.92)*'Cost Estimate'!G3*'SCR Design Parameters'!C24), 0)</f>
        <v>15711457.170588976</v>
      </c>
      <c r="I37" s="293"/>
      <c r="J37" s="293"/>
      <c r="K37" s="293"/>
      <c r="L37" s="293"/>
      <c r="M37" s="293"/>
      <c r="N37" s="293"/>
      <c r="O37" s="293"/>
      <c r="P37" s="293"/>
      <c r="Q37" s="293"/>
      <c r="R37" s="293"/>
      <c r="S37" s="293"/>
      <c r="T37" s="293"/>
      <c r="U37" s="293"/>
      <c r="V37" s="293"/>
      <c r="W37" s="293"/>
      <c r="X37" s="293"/>
      <c r="Y37" s="294"/>
    </row>
    <row r="38" spans="1:25" s="93" customFormat="1" ht="15.5" x14ac:dyDescent="0.35">
      <c r="B38" s="106"/>
      <c r="C38" s="106"/>
      <c r="D38" s="324"/>
      <c r="F38" s="293"/>
      <c r="G38" s="296">
        <f>SUM(G35:G37)</f>
        <v>0</v>
      </c>
      <c r="H38" s="296">
        <f>SUM(H35:H37)</f>
        <v>15711457.170588976</v>
      </c>
      <c r="I38" s="293"/>
      <c r="J38" s="293"/>
      <c r="K38" s="293"/>
      <c r="L38" s="293"/>
      <c r="M38" s="293"/>
      <c r="N38" s="293"/>
      <c r="O38" s="293"/>
      <c r="P38" s="293"/>
      <c r="Q38" s="293"/>
      <c r="R38" s="293"/>
      <c r="S38" s="293"/>
      <c r="T38" s="293"/>
      <c r="U38" s="293"/>
      <c r="V38" s="293"/>
      <c r="W38" s="293"/>
      <c r="X38" s="293"/>
      <c r="Y38" s="294"/>
    </row>
    <row r="39" spans="1:25" s="93" customFormat="1" ht="17.5" x14ac:dyDescent="0.45">
      <c r="A39" s="325" t="s">
        <v>190</v>
      </c>
      <c r="B39" s="369"/>
      <c r="C39" s="369"/>
      <c r="D39" s="133">
        <f>(G38+H38)*('Data Inputs'!C53/'Data Inputs'!F53)</f>
        <v>14416054.783277327</v>
      </c>
      <c r="E39" s="305" t="str">
        <f>"in "&amp;'Data Inputs'!$C$52 &amp; " dollars"</f>
        <v>in 2016 dollars</v>
      </c>
      <c r="I39" s="293"/>
      <c r="J39" s="293"/>
      <c r="K39" s="293"/>
      <c r="L39" s="293"/>
      <c r="M39" s="293"/>
      <c r="N39" s="293"/>
      <c r="O39" s="293"/>
      <c r="P39" s="293"/>
      <c r="Q39" s="293"/>
      <c r="R39" s="293"/>
      <c r="S39" s="293"/>
      <c r="T39" s="293"/>
      <c r="U39" s="293"/>
      <c r="V39" s="293"/>
      <c r="W39" s="293"/>
      <c r="X39" s="293"/>
      <c r="Y39" s="294"/>
    </row>
    <row r="40" spans="1:25" s="93" customFormat="1" ht="15.5" x14ac:dyDescent="0.35">
      <c r="A40" s="105"/>
      <c r="B40" s="198"/>
      <c r="C40" s="198"/>
      <c r="D40" s="292"/>
      <c r="E40" s="296"/>
      <c r="F40" s="327"/>
      <c r="G40" s="293"/>
      <c r="H40" s="293"/>
      <c r="I40" s="293"/>
      <c r="J40" s="293"/>
      <c r="K40" s="293"/>
      <c r="L40" s="293"/>
      <c r="M40" s="293"/>
      <c r="N40" s="293"/>
      <c r="O40" s="293"/>
      <c r="P40" s="293"/>
      <c r="Q40" s="293"/>
      <c r="R40" s="293"/>
      <c r="S40" s="293"/>
      <c r="T40" s="293"/>
      <c r="U40" s="293"/>
      <c r="V40" s="293"/>
      <c r="W40" s="293"/>
      <c r="X40" s="293"/>
      <c r="Y40" s="294"/>
    </row>
    <row r="41" spans="1:25" s="93" customFormat="1" ht="15.5" x14ac:dyDescent="0.35">
      <c r="A41" s="498" t="s">
        <v>175</v>
      </c>
      <c r="B41" s="499"/>
      <c r="C41" s="499"/>
      <c r="D41" s="499"/>
      <c r="E41" s="500"/>
      <c r="F41" s="327"/>
      <c r="G41" s="293"/>
      <c r="H41" s="293"/>
      <c r="I41" s="293"/>
      <c r="J41" s="293"/>
      <c r="K41" s="293"/>
      <c r="L41" s="293"/>
      <c r="M41" s="293"/>
      <c r="N41" s="293"/>
      <c r="O41" s="293"/>
      <c r="P41" s="293"/>
      <c r="Q41" s="293"/>
      <c r="R41" s="293"/>
      <c r="S41" s="293"/>
      <c r="T41" s="293"/>
      <c r="U41" s="293"/>
      <c r="V41" s="293"/>
      <c r="W41" s="293"/>
      <c r="X41" s="293"/>
      <c r="Y41" s="294"/>
    </row>
    <row r="42" spans="1:25" s="93" customFormat="1" ht="15.5" x14ac:dyDescent="0.35">
      <c r="A42" s="501" t="s">
        <v>257</v>
      </c>
      <c r="B42" s="501"/>
      <c r="C42" s="501"/>
      <c r="D42" s="501"/>
      <c r="E42" s="501"/>
      <c r="F42" s="328"/>
      <c r="G42" s="329"/>
      <c r="H42" s="329"/>
      <c r="I42" s="293"/>
      <c r="J42" s="293"/>
      <c r="K42" s="293"/>
      <c r="L42" s="293"/>
      <c r="M42" s="293"/>
      <c r="N42" s="293"/>
      <c r="O42" s="293"/>
      <c r="P42" s="293"/>
      <c r="Q42" s="293"/>
      <c r="R42" s="293"/>
      <c r="S42" s="293"/>
      <c r="T42" s="293"/>
      <c r="U42" s="293"/>
      <c r="V42" s="293"/>
      <c r="W42" s="293"/>
      <c r="X42" s="293"/>
      <c r="Y42" s="294"/>
    </row>
    <row r="43" spans="1:25" s="93" customFormat="1" ht="18.5" x14ac:dyDescent="0.45">
      <c r="A43" s="497" t="s">
        <v>284</v>
      </c>
      <c r="B43" s="497"/>
      <c r="C43" s="497"/>
      <c r="D43" s="497"/>
      <c r="E43" s="497"/>
      <c r="F43" s="328"/>
      <c r="G43" s="296">
        <f>IF(AND('Data Inputs'!S8=2,'Data Inputs'!P8=2,'Data Inputs'!P17=2),(490000*(('Data Inputs'!C33*'Data Inputs'!C10*'Data Inputs'!C17*('SCR Design Parameters'!C12/100))^0.25)*0.8), 0)</f>
        <v>0</v>
      </c>
      <c r="H43" s="296">
        <f>IF(AND('Data Inputs'!S8=3,'Data Inputs'!P8=2,'Data Inputs'!P17=2),(490000*(('Data Inputs'!C33*'Data Inputs'!C10*'Data Inputs'!C17*('SCR Design Parameters'!C12/100))^0.25)*'SCR Design Parameters'!C24), 0)</f>
        <v>0</v>
      </c>
      <c r="I43" s="293"/>
      <c r="J43" s="293"/>
      <c r="K43" s="293"/>
      <c r="L43" s="293"/>
      <c r="M43" s="293"/>
      <c r="N43" s="293"/>
      <c r="O43" s="293"/>
      <c r="P43" s="293"/>
      <c r="Q43" s="293"/>
      <c r="R43" s="293"/>
      <c r="S43" s="293"/>
      <c r="T43" s="293"/>
      <c r="U43" s="293"/>
      <c r="V43" s="293"/>
      <c r="W43" s="293"/>
      <c r="X43" s="293"/>
      <c r="Y43" s="294"/>
    </row>
    <row r="44" spans="1:25" s="93" customFormat="1" ht="15.5" x14ac:dyDescent="0.35">
      <c r="A44" s="502" t="s">
        <v>193</v>
      </c>
      <c r="B44" s="502"/>
      <c r="C44" s="502"/>
      <c r="D44" s="502"/>
      <c r="E44" s="502"/>
      <c r="F44" s="303"/>
      <c r="G44" s="296"/>
      <c r="H44" s="329"/>
      <c r="I44" s="293"/>
      <c r="J44" s="293"/>
      <c r="K44" s="293"/>
      <c r="L44" s="293"/>
      <c r="M44" s="293"/>
      <c r="N44" s="293"/>
      <c r="O44" s="293"/>
      <c r="P44" s="293"/>
      <c r="Q44" s="293"/>
      <c r="R44" s="293"/>
      <c r="S44" s="293"/>
      <c r="T44" s="293"/>
      <c r="U44" s="293"/>
      <c r="V44" s="293"/>
      <c r="W44" s="293"/>
      <c r="X44" s="293"/>
      <c r="Y44" s="294"/>
    </row>
    <row r="45" spans="1:25" s="93" customFormat="1" ht="18.5" x14ac:dyDescent="0.45">
      <c r="A45" s="497" t="s">
        <v>290</v>
      </c>
      <c r="B45" s="497"/>
      <c r="C45" s="497"/>
      <c r="D45" s="497"/>
      <c r="E45" s="497"/>
      <c r="F45" s="303"/>
      <c r="G45" s="330">
        <f>IF(AND('Data Inputs'!S8=2,'Data Inputs'!P8=3,'Data Inputs'!P17=2),(490000*(('Data Inputs'!C33*'Data Inputs'!C10*('SCR Design Parameters'!C12/100))^0.25)*0.8), 0)</f>
        <v>0</v>
      </c>
      <c r="H45" s="330">
        <f>IF(AND('Data Inputs'!S8=3,'Data Inputs'!P8=3,'Data Inputs'!P17=2),(490000*(('Data Inputs'!C33*'Data Inputs'!C10*('SCR Design Parameters'!C12/100))^0.25)*'SCR Design Parameters'!C24), 0)</f>
        <v>2688783.1599339899</v>
      </c>
      <c r="I45" s="293"/>
      <c r="J45" s="293"/>
      <c r="K45" s="293"/>
      <c r="L45" s="293"/>
      <c r="M45" s="293"/>
      <c r="N45" s="293"/>
      <c r="O45" s="293"/>
      <c r="P45" s="293"/>
      <c r="Q45" s="293"/>
      <c r="R45" s="293"/>
      <c r="S45" s="293"/>
      <c r="T45" s="293"/>
      <c r="U45" s="293"/>
      <c r="V45" s="293"/>
      <c r="W45" s="293"/>
      <c r="X45" s="293"/>
      <c r="Y45" s="294"/>
    </row>
    <row r="46" spans="1:25" s="93" customFormat="1" ht="15.5" x14ac:dyDescent="0.35">
      <c r="B46" s="106"/>
      <c r="C46" s="106"/>
      <c r="D46" s="324"/>
      <c r="F46" s="293"/>
      <c r="G46" s="296"/>
      <c r="H46" s="296"/>
      <c r="I46" s="293"/>
      <c r="J46" s="293"/>
      <c r="K46" s="293"/>
      <c r="L46" s="293"/>
      <c r="M46" s="293"/>
      <c r="N46" s="293"/>
      <c r="O46" s="293"/>
      <c r="P46" s="293"/>
      <c r="Q46" s="293"/>
      <c r="R46" s="293"/>
      <c r="S46" s="293"/>
      <c r="T46" s="293"/>
      <c r="U46" s="293"/>
      <c r="V46" s="293"/>
      <c r="W46" s="293"/>
      <c r="X46" s="293"/>
      <c r="Y46" s="294"/>
    </row>
    <row r="47" spans="1:25" s="93" customFormat="1" ht="15.5" x14ac:dyDescent="0.35">
      <c r="A47" s="325" t="s">
        <v>198</v>
      </c>
      <c r="B47" s="369"/>
      <c r="C47" s="369"/>
      <c r="D47" s="133">
        <f>(G47+H47)*('Data Inputs'!C53/'Data Inputs'!F53)</f>
        <v>2467094.230223387</v>
      </c>
      <c r="E47" s="305" t="str">
        <f>"in "&amp;'Data Inputs'!$C$52 &amp; " dollars"</f>
        <v>in 2016 dollars</v>
      </c>
      <c r="F47" s="293"/>
      <c r="G47" s="296">
        <f>SUM(G43:G45)</f>
        <v>0</v>
      </c>
      <c r="H47" s="296">
        <f>SUM(H43:H45)</f>
        <v>2688783.1599339899</v>
      </c>
      <c r="I47" s="293"/>
      <c r="J47" s="293"/>
      <c r="K47" s="293"/>
      <c r="L47" s="293"/>
      <c r="M47" s="293"/>
      <c r="N47" s="293"/>
      <c r="O47" s="293"/>
      <c r="P47" s="293"/>
      <c r="Q47" s="293"/>
      <c r="R47" s="293"/>
      <c r="S47" s="293"/>
      <c r="T47" s="293"/>
      <c r="U47" s="293"/>
      <c r="V47" s="293"/>
      <c r="W47" s="293"/>
      <c r="X47" s="293"/>
      <c r="Y47" s="294"/>
    </row>
    <row r="48" spans="1:25" s="93" customFormat="1" ht="15.5" x14ac:dyDescent="0.35">
      <c r="B48" s="106"/>
      <c r="C48" s="106"/>
      <c r="D48" s="324"/>
      <c r="F48" s="293"/>
      <c r="G48" s="293"/>
      <c r="H48" s="293"/>
      <c r="I48" s="293"/>
      <c r="J48" s="293"/>
      <c r="K48" s="293"/>
      <c r="L48" s="293"/>
      <c r="M48" s="293"/>
      <c r="N48" s="293"/>
      <c r="O48" s="293"/>
      <c r="P48" s="293"/>
      <c r="Q48" s="293"/>
      <c r="R48" s="293"/>
      <c r="S48" s="293"/>
      <c r="T48" s="293"/>
      <c r="U48" s="293"/>
      <c r="V48" s="293"/>
      <c r="W48" s="293"/>
      <c r="X48" s="293"/>
      <c r="Y48" s="294"/>
    </row>
    <row r="49" spans="1:25" s="93" customFormat="1" ht="15.5" x14ac:dyDescent="0.35">
      <c r="A49" s="498" t="s">
        <v>192</v>
      </c>
      <c r="B49" s="499"/>
      <c r="C49" s="499"/>
      <c r="D49" s="499"/>
      <c r="E49" s="500"/>
      <c r="F49" s="293"/>
      <c r="G49" s="307"/>
      <c r="H49" s="293"/>
      <c r="I49" s="293"/>
      <c r="J49" s="293"/>
      <c r="K49" s="293"/>
      <c r="L49" s="293"/>
      <c r="M49" s="293"/>
      <c r="N49" s="293"/>
      <c r="O49" s="293"/>
      <c r="P49" s="293"/>
      <c r="Q49" s="293"/>
      <c r="R49" s="293"/>
      <c r="S49" s="293"/>
      <c r="T49" s="293"/>
      <c r="U49" s="293"/>
      <c r="V49" s="293"/>
      <c r="W49" s="293"/>
      <c r="X49" s="293"/>
      <c r="Y49" s="294"/>
    </row>
    <row r="50" spans="1:25" s="93" customFormat="1" ht="15.5" x14ac:dyDescent="0.35">
      <c r="A50" s="502" t="s">
        <v>191</v>
      </c>
      <c r="B50" s="502"/>
      <c r="C50" s="502"/>
      <c r="D50" s="502"/>
      <c r="E50" s="502"/>
      <c r="F50" s="293"/>
      <c r="G50" s="307"/>
      <c r="H50" s="293"/>
      <c r="I50" s="293"/>
      <c r="J50" s="293"/>
      <c r="K50" s="293"/>
      <c r="L50" s="293"/>
      <c r="M50" s="293"/>
      <c r="N50" s="293"/>
      <c r="O50" s="293"/>
      <c r="P50" s="293"/>
      <c r="Q50" s="293"/>
      <c r="R50" s="293"/>
      <c r="S50" s="293"/>
      <c r="T50" s="293"/>
      <c r="U50" s="293"/>
      <c r="V50" s="293"/>
      <c r="W50" s="293"/>
      <c r="X50" s="293"/>
      <c r="Y50" s="294"/>
    </row>
    <row r="51" spans="1:25" s="93" customFormat="1" ht="18.5" x14ac:dyDescent="0.45">
      <c r="A51" s="497" t="s">
        <v>285</v>
      </c>
      <c r="B51" s="497"/>
      <c r="C51" s="497"/>
      <c r="D51" s="497"/>
      <c r="E51" s="497"/>
      <c r="F51" s="293"/>
      <c r="G51" s="131">
        <f>IF(AND('Data Inputs'!S8=2,'Data Inputs'!P8=2,'Data Inputs'!P17=2),(69000*('Data Inputs'!C10*'SCR Design Parameters'!C9*'SCR Design Parameters'!C19)^0.78)*(IF('Data Inputs'!V11=3,1,0))*0.8,0)</f>
        <v>0</v>
      </c>
      <c r="H51" s="131">
        <f>IF(AND('Data Inputs'!S8=3, 'Data Inputs'!P8=2,'Data Inputs'!P17=2),(69000*('Data Inputs'!C10*'SCR Design Parameters'!C9*'SCR Design Parameters'!C19)^0.78)*(IF('Data Inputs'!V11=3,1,0))*'SCR Design Parameters'!C24, 0)</f>
        <v>0</v>
      </c>
      <c r="I51" s="293"/>
      <c r="J51" s="293"/>
      <c r="K51" s="293"/>
      <c r="L51" s="293"/>
      <c r="M51" s="293"/>
      <c r="N51" s="293"/>
      <c r="O51" s="293"/>
      <c r="P51" s="293"/>
      <c r="Q51" s="293"/>
      <c r="R51" s="293"/>
      <c r="S51" s="293"/>
      <c r="T51" s="293"/>
      <c r="U51" s="293"/>
      <c r="V51" s="293"/>
      <c r="W51" s="293"/>
      <c r="X51" s="293"/>
      <c r="Y51" s="294"/>
    </row>
    <row r="52" spans="1:25" s="93" customFormat="1" ht="15.5" x14ac:dyDescent="0.35">
      <c r="A52" s="502" t="s">
        <v>193</v>
      </c>
      <c r="B52" s="502"/>
      <c r="C52" s="502"/>
      <c r="D52" s="502"/>
      <c r="E52" s="502"/>
      <c r="F52" s="293"/>
      <c r="G52" s="307"/>
      <c r="H52" s="307"/>
      <c r="I52" s="293"/>
      <c r="J52" s="293"/>
      <c r="K52" s="293"/>
      <c r="L52" s="293"/>
      <c r="M52" s="293"/>
      <c r="N52" s="293"/>
      <c r="O52" s="293"/>
      <c r="P52" s="293"/>
      <c r="Q52" s="293"/>
      <c r="R52" s="293"/>
      <c r="S52" s="293"/>
      <c r="T52" s="293"/>
      <c r="U52" s="293"/>
      <c r="V52" s="293"/>
      <c r="W52" s="293"/>
      <c r="X52" s="293"/>
      <c r="Y52" s="294"/>
    </row>
    <row r="53" spans="1:25" s="93" customFormat="1" ht="18.5" x14ac:dyDescent="0.45">
      <c r="A53" s="497" t="s">
        <v>291</v>
      </c>
      <c r="B53" s="497"/>
      <c r="C53" s="497"/>
      <c r="D53" s="497"/>
      <c r="E53" s="497"/>
      <c r="F53" s="293"/>
      <c r="G53" s="131">
        <f>IF(AND('Data Inputs'!S8=2,'Data Inputs'!P8=3,'Data Inputs'!P17=2), (69000*((0.1*'Data Inputs'!C10*'SCR Design Parameters'!C19)^0.78)*(IF('Data Inputs'!V11=3, 1, 0))*0.8), 0)</f>
        <v>0</v>
      </c>
      <c r="H53" s="131">
        <f>IF(AND('Data Inputs'!S8=3,'Data Inputs'!P8=3,'Data Inputs'!P17=2), (69000*((0.1*'Data Inputs'!C10*'SCR Design Parameters'!C19)^0.78)*(IF('Data Inputs'!V11=3, 1, 0))*'SCR Design Parameters'!C24), 0)</f>
        <v>0</v>
      </c>
      <c r="I53" s="293"/>
      <c r="J53" s="293"/>
      <c r="K53" s="293"/>
      <c r="L53" s="293"/>
      <c r="M53" s="293"/>
      <c r="N53" s="293"/>
      <c r="O53" s="293"/>
      <c r="P53" s="293"/>
      <c r="Q53" s="293"/>
      <c r="R53" s="293"/>
      <c r="S53" s="293"/>
      <c r="T53" s="293"/>
      <c r="U53" s="293"/>
      <c r="V53" s="293"/>
      <c r="W53" s="293"/>
      <c r="X53" s="293"/>
      <c r="Y53" s="294"/>
    </row>
    <row r="54" spans="1:25" s="93" customFormat="1" ht="15.5" x14ac:dyDescent="0.35">
      <c r="B54" s="106"/>
      <c r="C54" s="106"/>
      <c r="D54" s="324"/>
      <c r="F54" s="293"/>
      <c r="G54" s="296"/>
      <c r="H54" s="296"/>
      <c r="I54" s="293"/>
      <c r="J54" s="293"/>
      <c r="K54" s="293"/>
      <c r="L54" s="293"/>
      <c r="M54" s="293"/>
      <c r="N54" s="293"/>
      <c r="O54" s="293"/>
      <c r="P54" s="293"/>
      <c r="Q54" s="293"/>
      <c r="R54" s="293"/>
      <c r="S54" s="293"/>
      <c r="T54" s="293"/>
      <c r="U54" s="293"/>
      <c r="V54" s="293"/>
      <c r="W54" s="293"/>
      <c r="X54" s="293"/>
      <c r="Y54" s="294"/>
    </row>
    <row r="55" spans="1:25" s="93" customFormat="1" ht="17.5" x14ac:dyDescent="0.45">
      <c r="A55" s="331" t="s">
        <v>59</v>
      </c>
      <c r="B55" s="369"/>
      <c r="C55" s="370"/>
      <c r="D55" s="134">
        <f>(G55+H55)*('Data Inputs'!C53/'Data Inputs'!F53)</f>
        <v>0</v>
      </c>
      <c r="E55" s="305" t="str">
        <f>"in "&amp;'Data Inputs'!$C$52 &amp; " dollars"</f>
        <v>in 2016 dollars</v>
      </c>
      <c r="F55" s="293"/>
      <c r="G55" s="296">
        <f>SUM(G51:G53)</f>
        <v>0</v>
      </c>
      <c r="H55" s="296">
        <f>SUM(H51:H53)</f>
        <v>0</v>
      </c>
      <c r="I55" s="293"/>
      <c r="J55" s="293"/>
      <c r="K55" s="293"/>
      <c r="L55" s="293"/>
      <c r="M55" s="293"/>
      <c r="N55" s="293"/>
      <c r="O55" s="293"/>
      <c r="P55" s="293"/>
      <c r="Q55" s="293"/>
      <c r="R55" s="293"/>
      <c r="S55" s="293"/>
      <c r="T55" s="293"/>
      <c r="U55" s="293"/>
      <c r="V55" s="293"/>
      <c r="W55" s="293"/>
      <c r="X55" s="293"/>
      <c r="Y55" s="294"/>
    </row>
    <row r="56" spans="1:25" s="93" customFormat="1" ht="27" customHeight="1" x14ac:dyDescent="0.35">
      <c r="A56" s="509" t="str">
        <f>IF(AND('Data Inputs'!P17=2,'Data Inputs'!V11=3),"* This factor applies because the boiler burns bituminous coal and emits equal to or greater than 3lb/MMBtu of sulfur dioxide. ", "* Not applicable - This factor applies only to coal-fired boilers that burn bituminous coal and emit equal to or greater than 3lb/MMBtu of sulfur dioxide.")</f>
        <v>* Not applicable - This factor applies only to coal-fired boilers that burn bituminous coal and emit equal to or greater than 3lb/MMBtu of sulfur dioxide.</v>
      </c>
      <c r="B56" s="509"/>
      <c r="C56" s="509"/>
      <c r="D56" s="509"/>
      <c r="E56" s="332"/>
      <c r="F56" s="293"/>
      <c r="G56" s="293"/>
      <c r="H56" s="293"/>
      <c r="I56" s="293"/>
      <c r="J56" s="293"/>
      <c r="K56" s="293"/>
      <c r="L56" s="293"/>
      <c r="M56" s="293"/>
      <c r="N56" s="293"/>
      <c r="O56" s="293"/>
      <c r="P56" s="293"/>
      <c r="Q56" s="293"/>
      <c r="R56" s="293"/>
      <c r="S56" s="293"/>
      <c r="T56" s="293"/>
      <c r="U56" s="293"/>
      <c r="V56" s="293"/>
      <c r="W56" s="293"/>
      <c r="X56" s="293"/>
      <c r="Y56" s="294"/>
    </row>
    <row r="57" spans="1:25" s="93" customFormat="1" ht="15.5" x14ac:dyDescent="0.35">
      <c r="A57" s="68"/>
      <c r="B57" s="319"/>
      <c r="C57" s="319"/>
      <c r="D57" s="320"/>
      <c r="E57" s="68"/>
      <c r="F57" s="293"/>
      <c r="G57" s="303"/>
      <c r="H57" s="303"/>
      <c r="I57" s="293"/>
      <c r="J57" s="293"/>
      <c r="K57" s="293"/>
      <c r="L57" s="293"/>
      <c r="M57" s="293"/>
      <c r="N57" s="293"/>
      <c r="O57" s="293"/>
      <c r="P57" s="293"/>
      <c r="Q57" s="293"/>
      <c r="R57" s="293"/>
      <c r="S57" s="293"/>
      <c r="T57" s="293"/>
      <c r="U57" s="293"/>
      <c r="V57" s="293"/>
      <c r="W57" s="293"/>
      <c r="X57" s="293"/>
      <c r="Y57" s="294"/>
    </row>
    <row r="58" spans="1:25" s="93" customFormat="1" ht="15.5" x14ac:dyDescent="0.35">
      <c r="A58" s="498" t="s">
        <v>194</v>
      </c>
      <c r="B58" s="499"/>
      <c r="C58" s="499"/>
      <c r="D58" s="499"/>
      <c r="E58" s="500"/>
      <c r="F58" s="293"/>
      <c r="G58" s="303"/>
      <c r="H58" s="303"/>
      <c r="I58" s="293"/>
      <c r="J58" s="293"/>
      <c r="K58" s="293"/>
      <c r="L58" s="293"/>
      <c r="M58" s="293"/>
      <c r="N58" s="293"/>
      <c r="O58" s="293"/>
      <c r="P58" s="293"/>
      <c r="Q58" s="293"/>
      <c r="R58" s="293"/>
      <c r="S58" s="293"/>
      <c r="T58" s="293"/>
      <c r="U58" s="293"/>
      <c r="V58" s="293"/>
      <c r="W58" s="293"/>
      <c r="X58" s="293"/>
      <c r="Y58" s="294"/>
    </row>
    <row r="59" spans="1:25" s="68" customFormat="1" ht="15.5" x14ac:dyDescent="0.35">
      <c r="A59" s="502" t="s">
        <v>191</v>
      </c>
      <c r="B59" s="502"/>
      <c r="C59" s="502"/>
      <c r="D59" s="502"/>
      <c r="E59" s="502"/>
      <c r="F59" s="317"/>
      <c r="G59" s="333"/>
      <c r="H59" s="333"/>
      <c r="I59" s="317"/>
      <c r="J59" s="317"/>
      <c r="K59" s="317"/>
      <c r="L59" s="317"/>
      <c r="M59" s="317"/>
      <c r="N59" s="317"/>
      <c r="O59" s="317"/>
      <c r="P59" s="317"/>
      <c r="Q59" s="317"/>
      <c r="R59" s="317"/>
      <c r="S59" s="317"/>
      <c r="T59" s="317"/>
      <c r="U59" s="317"/>
      <c r="V59" s="317"/>
      <c r="W59" s="317"/>
      <c r="X59" s="317"/>
      <c r="Y59" s="318"/>
    </row>
    <row r="60" spans="1:25" s="338" customFormat="1" ht="18.5" x14ac:dyDescent="0.45">
      <c r="A60" s="497" t="s">
        <v>286</v>
      </c>
      <c r="B60" s="497"/>
      <c r="C60" s="497"/>
      <c r="D60" s="497"/>
      <c r="E60" s="497"/>
      <c r="F60" s="334"/>
      <c r="G60" s="335">
        <f>IF(AND('Data Inputs'!S8=2,'Data Inputs'!P8=2,'Data Inputs'!P17=2),(460000*(('Data Inputs'!C10*'SCR Design Parameters'!C9*'SCR Design Parameters'!C19)^0.42)*G3*0.8), 0)</f>
        <v>0</v>
      </c>
      <c r="H60" s="335">
        <f>IF(AND('Data Inputs'!S8=3,'Data Inputs'!P8=2,'Data Inputs'!P17=2),(460000*(('Data Inputs'!C10*'SCR Design Parameters'!C9*'SCR Design Parameters'!C19)^0.42)*G3*'SCR Design Parameters'!C24), 0)</f>
        <v>0</v>
      </c>
      <c r="I60" s="336"/>
      <c r="J60" s="334"/>
      <c r="K60" s="334"/>
      <c r="L60" s="334"/>
      <c r="M60" s="334"/>
      <c r="N60" s="334"/>
      <c r="O60" s="334"/>
      <c r="P60" s="334"/>
      <c r="Q60" s="334"/>
      <c r="R60" s="334"/>
      <c r="S60" s="334"/>
      <c r="T60" s="334"/>
      <c r="U60" s="334"/>
      <c r="V60" s="334"/>
      <c r="W60" s="334"/>
      <c r="X60" s="334"/>
      <c r="Y60" s="337"/>
    </row>
    <row r="61" spans="1:25" s="299" customFormat="1" ht="15.5" x14ac:dyDescent="0.35">
      <c r="A61" s="301" t="s">
        <v>193</v>
      </c>
      <c r="B61" s="301"/>
      <c r="C61" s="301"/>
      <c r="D61" s="301"/>
      <c r="E61" s="301"/>
      <c r="F61" s="295"/>
      <c r="G61" s="335"/>
      <c r="H61" s="335"/>
      <c r="I61" s="296"/>
      <c r="J61" s="295"/>
      <c r="K61" s="295"/>
      <c r="L61" s="295"/>
      <c r="M61" s="295"/>
      <c r="N61" s="295"/>
      <c r="O61" s="295"/>
      <c r="P61" s="295"/>
      <c r="Q61" s="295"/>
      <c r="R61" s="295"/>
      <c r="S61" s="295"/>
      <c r="T61" s="295"/>
      <c r="U61" s="295"/>
      <c r="V61" s="295"/>
      <c r="W61" s="295"/>
      <c r="X61" s="295"/>
      <c r="Y61" s="298"/>
    </row>
    <row r="62" spans="1:25" s="93" customFormat="1" ht="18.5" x14ac:dyDescent="0.45">
      <c r="A62" s="497" t="s">
        <v>292</v>
      </c>
      <c r="B62" s="497"/>
      <c r="C62" s="497"/>
      <c r="D62" s="497"/>
      <c r="E62" s="497"/>
      <c r="F62" s="293"/>
      <c r="G62" s="330">
        <f>IF(AND('Data Inputs'!S8=2,'Data Inputs'!P8=3,'Data Inputs'!P17=2),(460000*((0.1*'Data Inputs'!C10*'SCR Design Parameters'!C19)^0.42)*G3*0.8), 0)</f>
        <v>0</v>
      </c>
      <c r="H62" s="330">
        <f>IF(AND('Data Inputs'!S8=3,'Data Inputs'!P8=3,'Data Inputs'!P17=2),(460000*((0.1*'Data Inputs'!C10*'SCR Design Parameters'!C19)^0.42)*G3*'SCR Design Parameters'!C24), 0)</f>
        <v>3626459.0677817119</v>
      </c>
      <c r="I62" s="329"/>
      <c r="J62" s="293"/>
      <c r="K62" s="293"/>
      <c r="L62" s="293"/>
      <c r="M62" s="293"/>
      <c r="N62" s="293"/>
      <c r="O62" s="293"/>
      <c r="P62" s="293"/>
      <c r="Q62" s="293"/>
      <c r="R62" s="293"/>
      <c r="S62" s="293"/>
      <c r="T62" s="293"/>
      <c r="U62" s="293"/>
      <c r="V62" s="293"/>
      <c r="W62" s="293"/>
      <c r="X62" s="293"/>
      <c r="Y62" s="294"/>
    </row>
    <row r="63" spans="1:25" s="93" customFormat="1" ht="15.5" x14ac:dyDescent="0.35">
      <c r="B63" s="106"/>
      <c r="C63" s="106"/>
      <c r="D63" s="324"/>
      <c r="F63" s="293"/>
      <c r="G63" s="296"/>
      <c r="H63" s="296"/>
      <c r="I63" s="329"/>
      <c r="J63" s="293"/>
      <c r="K63" s="293"/>
      <c r="L63" s="293"/>
      <c r="M63" s="293"/>
      <c r="N63" s="293"/>
      <c r="O63" s="293"/>
      <c r="P63" s="293"/>
      <c r="Q63" s="293"/>
      <c r="R63" s="293"/>
      <c r="S63" s="293"/>
      <c r="T63" s="293"/>
      <c r="U63" s="293"/>
      <c r="V63" s="293"/>
      <c r="W63" s="293"/>
      <c r="X63" s="293"/>
      <c r="Y63" s="294"/>
    </row>
    <row r="64" spans="1:25" s="93" customFormat="1" ht="17.5" x14ac:dyDescent="0.45">
      <c r="A64" s="325" t="s">
        <v>260</v>
      </c>
      <c r="B64" s="369"/>
      <c r="C64" s="371"/>
      <c r="D64" s="133">
        <f>(G64+H64)*('Data Inputs'!C53/'Data Inputs'!F53)</f>
        <v>3327459.1925386763</v>
      </c>
      <c r="E64" s="305" t="str">
        <f>"in "&amp;'Data Inputs'!$C$52 &amp; " dollars"</f>
        <v>in 2016 dollars</v>
      </c>
      <c r="F64" s="293"/>
      <c r="G64" s="296">
        <f>SUM(G60:G62)</f>
        <v>0</v>
      </c>
      <c r="H64" s="296">
        <f>SUM(H60:H62)</f>
        <v>3626459.0677817119</v>
      </c>
      <c r="I64" s="329"/>
      <c r="J64" s="293"/>
      <c r="K64" s="293"/>
      <c r="L64" s="293"/>
      <c r="M64" s="293"/>
      <c r="N64" s="293"/>
      <c r="O64" s="293"/>
      <c r="P64" s="293"/>
      <c r="Q64" s="293"/>
      <c r="R64" s="293"/>
      <c r="S64" s="293"/>
      <c r="T64" s="293"/>
      <c r="U64" s="293"/>
      <c r="V64" s="293"/>
      <c r="W64" s="293"/>
      <c r="X64" s="293"/>
      <c r="Y64" s="294"/>
    </row>
    <row r="65" spans="1:25" s="93" customFormat="1" ht="15.5" x14ac:dyDescent="0.35">
      <c r="A65" s="127"/>
      <c r="B65" s="198"/>
      <c r="C65" s="198"/>
      <c r="D65" s="292"/>
      <c r="F65" s="293"/>
      <c r="G65" s="329"/>
      <c r="H65" s="329"/>
      <c r="I65" s="329"/>
      <c r="J65" s="293"/>
      <c r="K65" s="293"/>
      <c r="L65" s="293"/>
      <c r="M65" s="293"/>
      <c r="N65" s="293"/>
      <c r="O65" s="293"/>
      <c r="P65" s="293"/>
      <c r="Q65" s="293"/>
      <c r="R65" s="293"/>
      <c r="S65" s="293"/>
      <c r="T65" s="293"/>
      <c r="U65" s="293"/>
      <c r="V65" s="293"/>
      <c r="W65" s="293"/>
      <c r="X65" s="293"/>
      <c r="Y65" s="294"/>
    </row>
    <row r="66" spans="1:25" s="299" customFormat="1" ht="24" customHeight="1" x14ac:dyDescent="0.35">
      <c r="A66" s="68"/>
      <c r="B66" s="339"/>
      <c r="C66" s="339"/>
      <c r="D66" s="68"/>
      <c r="E66" s="68"/>
      <c r="F66" s="295"/>
      <c r="G66" s="295"/>
      <c r="H66" s="295"/>
      <c r="I66" s="295"/>
      <c r="J66" s="295"/>
      <c r="K66" s="295"/>
      <c r="L66" s="295"/>
      <c r="M66" s="295"/>
      <c r="N66" s="295"/>
      <c r="O66" s="295"/>
      <c r="P66" s="295"/>
      <c r="Q66" s="295"/>
      <c r="R66" s="295"/>
      <c r="S66" s="295"/>
      <c r="T66" s="295"/>
      <c r="U66" s="295"/>
      <c r="V66" s="295"/>
      <c r="W66" s="295"/>
      <c r="X66" s="295"/>
      <c r="Y66" s="298"/>
    </row>
    <row r="67" spans="1:25" s="16" customFormat="1" ht="18.5" x14ac:dyDescent="0.45">
      <c r="A67" s="510" t="s">
        <v>42</v>
      </c>
      <c r="B67" s="510"/>
      <c r="C67" s="510"/>
      <c r="D67" s="510"/>
      <c r="E67" s="510"/>
      <c r="F67" s="55"/>
      <c r="G67" s="55"/>
      <c r="H67" s="55"/>
      <c r="I67" s="55"/>
      <c r="J67" s="55"/>
      <c r="K67" s="55"/>
      <c r="L67" s="55"/>
      <c r="M67" s="55"/>
      <c r="N67" s="55"/>
      <c r="O67" s="55"/>
      <c r="P67" s="55"/>
      <c r="Q67" s="55"/>
      <c r="R67" s="55"/>
      <c r="S67" s="55"/>
      <c r="T67" s="55"/>
      <c r="U67" s="55"/>
      <c r="V67" s="55"/>
      <c r="W67" s="55"/>
      <c r="X67" s="55"/>
      <c r="Y67" s="52"/>
    </row>
    <row r="68" spans="1:25" s="16" customFormat="1" ht="15.5" x14ac:dyDescent="0.35">
      <c r="A68"/>
      <c r="B68"/>
      <c r="C68"/>
      <c r="D68"/>
      <c r="E68"/>
      <c r="F68" s="55"/>
      <c r="G68" s="55"/>
      <c r="H68" s="55"/>
      <c r="I68" s="55"/>
      <c r="J68" s="55"/>
      <c r="K68" s="55"/>
      <c r="L68" s="55"/>
      <c r="M68" s="55"/>
      <c r="N68" s="55"/>
      <c r="O68" s="55"/>
      <c r="P68" s="55"/>
      <c r="Q68" s="55"/>
      <c r="R68" s="55"/>
      <c r="S68" s="55"/>
      <c r="T68" s="55"/>
      <c r="U68" s="55"/>
      <c r="V68" s="55"/>
      <c r="W68" s="55"/>
      <c r="X68" s="55"/>
      <c r="Y68" s="52"/>
    </row>
    <row r="69" spans="1:25" s="16" customFormat="1" ht="15.5" x14ac:dyDescent="0.35">
      <c r="A69" s="506" t="s">
        <v>54</v>
      </c>
      <c r="B69" s="506"/>
      <c r="C69" s="506"/>
      <c r="D69" s="506"/>
      <c r="E69" s="506"/>
      <c r="F69" s="55"/>
      <c r="G69" s="55"/>
      <c r="H69" s="55"/>
      <c r="I69" s="55"/>
      <c r="J69" s="55"/>
      <c r="K69" s="55"/>
      <c r="L69" s="55"/>
      <c r="M69" s="55"/>
      <c r="N69" s="55"/>
      <c r="O69" s="55"/>
      <c r="P69" s="55"/>
      <c r="Q69" s="55"/>
      <c r="R69" s="55"/>
      <c r="S69" s="55"/>
      <c r="T69" s="55"/>
      <c r="U69" s="55"/>
      <c r="V69" s="55"/>
      <c r="W69" s="55"/>
      <c r="X69" s="55"/>
      <c r="Y69" s="52"/>
    </row>
    <row r="70" spans="1:25" s="16" customFormat="1" ht="15.5" x14ac:dyDescent="0.35">
      <c r="A70" s="515" t="s">
        <v>55</v>
      </c>
      <c r="B70" s="515"/>
      <c r="C70" s="515"/>
      <c r="D70" s="515"/>
      <c r="E70" s="515"/>
      <c r="F70" s="55"/>
      <c r="G70" s="55"/>
      <c r="H70" s="55"/>
      <c r="I70" s="55"/>
      <c r="J70" s="55"/>
      <c r="K70" s="55"/>
      <c r="L70" s="55"/>
      <c r="M70" s="55"/>
      <c r="N70" s="55"/>
      <c r="O70" s="55"/>
      <c r="P70" s="55"/>
      <c r="Q70" s="55"/>
      <c r="R70" s="55"/>
      <c r="S70" s="55"/>
      <c r="T70" s="55"/>
      <c r="U70" s="55"/>
      <c r="V70" s="55"/>
      <c r="W70" s="55"/>
      <c r="X70" s="55"/>
      <c r="Y70" s="52"/>
    </row>
    <row r="71" spans="1:25" s="16" customFormat="1" ht="15.5" x14ac:dyDescent="0.35">
      <c r="F71" s="55"/>
      <c r="G71" s="55"/>
      <c r="H71" s="55"/>
      <c r="I71" s="55"/>
      <c r="J71" s="55"/>
      <c r="K71" s="55"/>
      <c r="L71" s="55"/>
      <c r="M71" s="55"/>
      <c r="N71" s="55"/>
      <c r="O71" s="55"/>
      <c r="P71" s="55"/>
      <c r="Q71" s="55"/>
      <c r="R71" s="55"/>
      <c r="S71" s="55"/>
      <c r="T71" s="55"/>
      <c r="U71" s="55"/>
      <c r="V71" s="55"/>
      <c r="W71" s="55"/>
      <c r="X71" s="55"/>
      <c r="Y71" s="52"/>
    </row>
    <row r="72" spans="1:25" s="16" customFormat="1" ht="15.5" x14ac:dyDescent="0.35">
      <c r="A72" s="17" t="s">
        <v>33</v>
      </c>
      <c r="B72" s="372"/>
      <c r="C72" s="130">
        <f>D88</f>
        <v>1162727.3218571155</v>
      </c>
      <c r="D72" s="41" t="str">
        <f>"in "&amp;'Data Inputs'!$C$52 &amp; " dollars"</f>
        <v>in 2016 dollars</v>
      </c>
      <c r="F72" s="55"/>
      <c r="G72" s="185"/>
      <c r="H72" s="55"/>
      <c r="I72" s="55"/>
      <c r="J72" s="55"/>
      <c r="K72" s="55"/>
      <c r="L72" s="55"/>
      <c r="M72" s="55"/>
      <c r="N72" s="55"/>
      <c r="O72" s="55"/>
      <c r="P72" s="55"/>
      <c r="Q72" s="55"/>
      <c r="R72" s="55"/>
      <c r="S72" s="55"/>
      <c r="T72" s="55"/>
      <c r="U72" s="55"/>
      <c r="V72" s="55"/>
      <c r="W72" s="55"/>
      <c r="X72" s="55"/>
      <c r="Y72" s="52"/>
    </row>
    <row r="73" spans="1:25" s="16" customFormat="1" ht="15.5" x14ac:dyDescent="0.35">
      <c r="A73" s="40" t="s">
        <v>34</v>
      </c>
      <c r="B73" s="373"/>
      <c r="C73" s="135">
        <f>D95</f>
        <v>2112481.3659350933</v>
      </c>
      <c r="D73" s="42" t="str">
        <f>"in "&amp;'Data Inputs'!$C$52 &amp; " dollars"</f>
        <v>in 2016 dollars</v>
      </c>
      <c r="F73" s="55"/>
      <c r="G73" s="24"/>
      <c r="H73"/>
      <c r="I73"/>
      <c r="J73" s="55"/>
      <c r="K73" s="55"/>
      <c r="L73" s="55"/>
      <c r="M73" s="55"/>
      <c r="N73" s="55"/>
      <c r="O73" s="55"/>
      <c r="P73" s="55"/>
      <c r="Q73" s="55"/>
      <c r="R73" s="55"/>
      <c r="S73" s="55"/>
      <c r="T73" s="55"/>
      <c r="U73" s="55"/>
      <c r="V73" s="55"/>
      <c r="W73" s="55"/>
      <c r="X73" s="55"/>
      <c r="Y73" s="52"/>
    </row>
    <row r="74" spans="1:25" s="21" customFormat="1" ht="15.5" x14ac:dyDescent="0.35">
      <c r="A74" s="19" t="s">
        <v>35</v>
      </c>
      <c r="B74" s="374"/>
      <c r="C74" s="133">
        <f>C72+C73</f>
        <v>3275208.687792209</v>
      </c>
      <c r="D74" s="20" t="str">
        <f>"in "&amp;'Data Inputs'!$C$52 &amp; " dollars"</f>
        <v>in 2016 dollars</v>
      </c>
      <c r="E74" s="16"/>
      <c r="F74" s="56"/>
      <c r="G74" s="186"/>
      <c r="H74" s="56"/>
      <c r="I74" s="56"/>
      <c r="J74" s="56"/>
      <c r="K74" s="56"/>
      <c r="L74" s="56"/>
      <c r="M74" s="56"/>
      <c r="N74" s="56"/>
      <c r="O74" s="56"/>
      <c r="P74" s="56"/>
      <c r="Q74" s="56"/>
      <c r="R74" s="56"/>
      <c r="S74" s="56"/>
      <c r="T74" s="56"/>
      <c r="U74" s="56"/>
      <c r="V74" s="56"/>
      <c r="W74" s="56"/>
      <c r="X74" s="56"/>
      <c r="Y74" s="53"/>
    </row>
    <row r="75" spans="1:25" s="21" customFormat="1" ht="15.5" x14ac:dyDescent="0.35">
      <c r="A75" s="23"/>
      <c r="B75" s="16"/>
      <c r="C75" s="16"/>
      <c r="D75" s="16"/>
      <c r="E75" s="16"/>
      <c r="F75" s="56"/>
      <c r="G75" s="186"/>
      <c r="H75" s="56"/>
      <c r="I75" s="56"/>
      <c r="J75" s="56"/>
      <c r="K75" s="56"/>
      <c r="L75" s="56"/>
      <c r="M75" s="56"/>
      <c r="N75" s="56"/>
      <c r="O75" s="56"/>
      <c r="P75" s="56"/>
      <c r="Q75" s="56"/>
      <c r="R75" s="56"/>
      <c r="S75" s="56"/>
      <c r="T75" s="56"/>
      <c r="U75" s="56"/>
      <c r="V75" s="56"/>
      <c r="W75" s="56"/>
      <c r="X75" s="56"/>
      <c r="Y75" s="53"/>
    </row>
    <row r="76" spans="1:25" s="16" customFormat="1" ht="15.5" x14ac:dyDescent="0.35">
      <c r="A76" s="512" t="s">
        <v>56</v>
      </c>
      <c r="B76" s="512"/>
      <c r="C76" s="512"/>
      <c r="D76" s="512"/>
      <c r="E76" s="512"/>
      <c r="F76" s="55"/>
      <c r="G76" s="55"/>
      <c r="H76" s="55"/>
      <c r="I76" s="55"/>
      <c r="J76" s="55"/>
      <c r="K76" s="55"/>
      <c r="L76" s="55"/>
      <c r="M76" s="55"/>
      <c r="N76" s="55"/>
      <c r="O76" s="55"/>
      <c r="P76" s="55"/>
      <c r="Q76" s="55"/>
      <c r="R76" s="55"/>
      <c r="S76" s="55"/>
      <c r="T76" s="55"/>
      <c r="U76" s="55"/>
      <c r="V76" s="55"/>
      <c r="W76" s="55"/>
      <c r="X76" s="55"/>
      <c r="Y76" s="52"/>
    </row>
    <row r="77" spans="1:25" s="16" customFormat="1" ht="33" customHeight="1" x14ac:dyDescent="0.35">
      <c r="A77" s="513" t="s">
        <v>160</v>
      </c>
      <c r="B77" s="513"/>
      <c r="C77" s="513"/>
      <c r="D77" s="513"/>
      <c r="E77" s="513"/>
      <c r="F77" s="55"/>
      <c r="G77" s="55"/>
      <c r="H77" s="55"/>
      <c r="I77" s="55"/>
      <c r="J77" s="55"/>
      <c r="K77" s="55"/>
      <c r="L77" s="55"/>
      <c r="M77" s="55"/>
      <c r="N77" s="55"/>
      <c r="O77" s="55"/>
      <c r="P77" s="55"/>
      <c r="Q77" s="55"/>
      <c r="R77" s="55"/>
      <c r="S77" s="55"/>
      <c r="T77" s="55"/>
      <c r="U77" s="55"/>
      <c r="V77" s="55"/>
      <c r="W77" s="55"/>
      <c r="X77" s="55"/>
      <c r="Y77" s="52"/>
    </row>
    <row r="78" spans="1:25" s="16" customFormat="1" ht="15.5" x14ac:dyDescent="0.35">
      <c r="A78" s="23"/>
      <c r="F78" s="55"/>
      <c r="G78" s="55"/>
      <c r="H78" s="55"/>
      <c r="I78" s="55"/>
      <c r="J78" s="55"/>
      <c r="K78" s="55"/>
      <c r="L78" s="55"/>
      <c r="M78" s="55"/>
      <c r="N78" s="55"/>
      <c r="O78" s="55"/>
      <c r="P78" s="55"/>
      <c r="Q78" s="55"/>
      <c r="R78" s="55"/>
      <c r="S78" s="55"/>
      <c r="T78" s="55"/>
      <c r="U78" s="55"/>
      <c r="V78" s="55"/>
      <c r="W78" s="55"/>
      <c r="X78" s="55"/>
      <c r="Y78" s="52"/>
    </row>
    <row r="79" spans="1:25" s="16" customFormat="1" ht="15.5" x14ac:dyDescent="0.35">
      <c r="A79" s="17" t="s">
        <v>1</v>
      </c>
      <c r="B79" s="190" t="str">
        <f>'Data Inputs'!C64&amp;" x TCI ="</f>
        <v>0.005 x TCI =</v>
      </c>
      <c r="C79" s="190"/>
      <c r="D79" s="130">
        <f>IF('Data Inputs'!P17&gt;2, (B19*'Data Inputs'!C64), (IF('Data Inputs'!P17=2, (B29*'Data Inputs'!C64), 0)))</f>
        <v>131368.95333925603</v>
      </c>
      <c r="E79" s="41" t="str">
        <f>"in "&amp;'Data Inputs'!$C$52 &amp; " dollars"</f>
        <v>in 2016 dollars</v>
      </c>
      <c r="F79" s="55"/>
      <c r="G79" s="55"/>
      <c r="H79" s="55"/>
      <c r="I79" s="55"/>
      <c r="J79" s="55"/>
      <c r="K79" s="55"/>
      <c r="L79" s="55"/>
      <c r="M79" s="55"/>
      <c r="N79" s="55"/>
      <c r="O79" s="55"/>
      <c r="P79" s="55"/>
      <c r="Q79" s="55"/>
      <c r="R79" s="55"/>
      <c r="S79" s="55"/>
      <c r="T79" s="55"/>
      <c r="U79" s="55"/>
      <c r="V79" s="55"/>
      <c r="W79" s="55"/>
      <c r="X79" s="55"/>
      <c r="Y79" s="52"/>
    </row>
    <row r="80" spans="1:25" s="16" customFormat="1" ht="17.5" x14ac:dyDescent="0.45">
      <c r="A80" s="18" t="s">
        <v>2</v>
      </c>
      <c r="B80" s="22" t="s">
        <v>60</v>
      </c>
      <c r="C80" s="22"/>
      <c r="D80" s="136">
        <f>'Data Inputs'!C55*'SCR Design Parameters'!C53*'SCR Design Parameters'!C11</f>
        <v>364165.9313616422</v>
      </c>
      <c r="E80" s="43" t="str">
        <f>"in "&amp;'Data Inputs'!$C$52 &amp; " dollars"</f>
        <v>in 2016 dollars</v>
      </c>
      <c r="F80" s="55"/>
      <c r="G80" s="55"/>
      <c r="H80" s="55"/>
      <c r="I80" s="55"/>
      <c r="J80" s="55"/>
      <c r="K80" s="55"/>
      <c r="L80" s="55"/>
      <c r="M80" s="55"/>
      <c r="N80" s="55"/>
      <c r="O80" s="55"/>
      <c r="P80" s="55"/>
      <c r="Q80" s="55"/>
      <c r="R80" s="55"/>
      <c r="S80" s="55"/>
      <c r="T80" s="55"/>
      <c r="U80" s="55"/>
      <c r="V80" s="55"/>
      <c r="W80" s="55"/>
      <c r="X80" s="55"/>
      <c r="Y80" s="52"/>
    </row>
    <row r="81" spans="1:25" ht="17.5" x14ac:dyDescent="0.45">
      <c r="A81" s="18" t="s">
        <v>0</v>
      </c>
      <c r="B81" s="22" t="s">
        <v>61</v>
      </c>
      <c r="C81" s="22"/>
      <c r="D81" s="136">
        <f>'SCR Design Parameters'!C64*'Data Inputs'!C56*'SCR Design Parameters'!C11</f>
        <v>555482.74991810601</v>
      </c>
      <c r="E81" s="43" t="str">
        <f>"in "&amp;'Data Inputs'!$C$52 &amp; " dollars"</f>
        <v>in 2016 dollars</v>
      </c>
    </row>
    <row r="82" spans="1:25" ht="15.5" x14ac:dyDescent="0.35">
      <c r="A82" s="18" t="s">
        <v>161</v>
      </c>
      <c r="B82" s="22"/>
      <c r="C82" s="22"/>
      <c r="D82" s="136">
        <f>IF(H83= 1, H85,H88)</f>
        <v>111709.68723811136</v>
      </c>
      <c r="E82" s="341" t="str">
        <f>"in "&amp;'Data Inputs'!$C$52 &amp; " dollars"</f>
        <v>in 2016 dollars</v>
      </c>
    </row>
    <row r="83" spans="1:25" ht="12.75" customHeight="1" x14ac:dyDescent="0.35">
      <c r="A83" s="504"/>
      <c r="B83" s="505"/>
      <c r="C83" s="3"/>
      <c r="D83" s="198"/>
      <c r="E83" s="345"/>
      <c r="H83" s="349">
        <f>IF('Data Inputs'!P17=2,'Data Inputs'!P26,1)</f>
        <v>1</v>
      </c>
    </row>
    <row r="84" spans="1:25" ht="15.75" customHeight="1" x14ac:dyDescent="0.35">
      <c r="A84" s="312" t="str">
        <f>IF(OR('Data Inputs'!P17=2, 'Data Inputs'!P17=1), "For coal-fired boilers, the following methods may be used to calcuate the catalyst replacement cost.", " ")</f>
        <v>For coal-fired boilers, the following methods may be used to calcuate the catalyst replacement cost.</v>
      </c>
      <c r="B84" s="3"/>
      <c r="C84" s="204"/>
      <c r="D84" s="198"/>
      <c r="E84" s="345"/>
    </row>
    <row r="85" spans="1:25" s="12" customFormat="1" ht="18.5" x14ac:dyDescent="0.45">
      <c r="A85" s="18" t="str">
        <f>IF(OR('Data Inputs'!P17=1,'Data Inputs'!P17=2), "Method 1 (for all fuel types):", " ")</f>
        <v>Method 1 (for all fuel types):</v>
      </c>
      <c r="B85" s="375" t="s">
        <v>280</v>
      </c>
      <c r="C85" s="346"/>
      <c r="D85" s="379" t="str">
        <f>IF('Data Inputs'!P17=2, "* Calculation Method "&amp;H83&amp;" selected.", " ")</f>
        <v>* Calculation Method 1 selected.</v>
      </c>
      <c r="E85" s="348"/>
      <c r="F85" s="46"/>
      <c r="G85" s="46" t="s">
        <v>266</v>
      </c>
      <c r="H85" s="340">
        <f>'Data Inputs'!K31*'SCR Design Parameters'!C34*('Data Inputs'!C57/'Data Inputs'!K32)*'SCR Design Parameters'!C33</f>
        <v>111709.68723811136</v>
      </c>
      <c r="I85" s="342"/>
      <c r="J85" s="46"/>
      <c r="K85" s="46"/>
      <c r="L85" s="46"/>
      <c r="M85" s="46"/>
      <c r="N85" s="46"/>
      <c r="O85" s="46"/>
      <c r="P85" s="46"/>
      <c r="Q85" s="46"/>
      <c r="R85" s="46"/>
      <c r="S85" s="46"/>
      <c r="T85" s="46"/>
      <c r="U85" s="46"/>
      <c r="V85" s="46"/>
      <c r="W85" s="46"/>
      <c r="X85" s="46"/>
      <c r="Y85" s="37"/>
    </row>
    <row r="86" spans="1:25" s="12" customFormat="1" ht="18.5" x14ac:dyDescent="0.45">
      <c r="A86" s="18" t="str">
        <f>IF(OR('Data Inputs'!P17=1, 'Data Inputs'!P17=2), "Method 2 (for coal-fired utility boilers):", " ")</f>
        <v>Method 2 (for coal-fired utility boilers):</v>
      </c>
      <c r="B86" s="368" t="s">
        <v>279</v>
      </c>
      <c r="C86" s="363"/>
      <c r="E86" s="364"/>
      <c r="F86" s="46"/>
      <c r="G86" s="46" t="s">
        <v>276</v>
      </c>
      <c r="H86" s="340">
        <f>('Data Inputs'!C10)*(('SCR Design Parameters'!C19)^2.9)*(('SCR Design Parameters'!C15)^0.71)*('Data Inputs'!C57)*(35.3)</f>
        <v>3501604.9312728951</v>
      </c>
      <c r="I86" s="46"/>
      <c r="J86" s="46"/>
      <c r="K86" s="46"/>
      <c r="L86" s="46"/>
      <c r="M86" s="46"/>
      <c r="N86" s="46"/>
      <c r="O86" s="46"/>
      <c r="P86" s="46"/>
      <c r="Q86" s="46"/>
      <c r="R86" s="46"/>
      <c r="S86" s="46"/>
      <c r="T86" s="46"/>
      <c r="U86" s="46"/>
      <c r="V86" s="46"/>
      <c r="W86" s="46"/>
      <c r="X86" s="46"/>
      <c r="Y86" s="37"/>
    </row>
    <row r="87" spans="1:25" s="367" customFormat="1" ht="18.5" hidden="1" x14ac:dyDescent="0.45">
      <c r="A87" s="381" t="str">
        <f>IF(OR('Data Inputs'!P17=1, 'Data Inputs'!P17=2), "Method 2 (for coal-fired industrial boilers):", " ")</f>
        <v>Method 2 (for coal-fired industrial boilers):</v>
      </c>
      <c r="B87" s="368" t="s">
        <v>278</v>
      </c>
      <c r="C87" s="363"/>
      <c r="D87" s="347"/>
      <c r="E87" s="364"/>
      <c r="F87" s="365"/>
      <c r="G87" s="46" t="s">
        <v>277</v>
      </c>
      <c r="H87" s="340">
        <f>('Data Inputs'!C10/'Data Inputs'!C17)*(('SCR Design Parameters'!C19)^2.9)*(('SCR Design Parameters'!C15)^0.71)*('Data Inputs'!C57)*(35.3)</f>
        <v>295918.61161775497</v>
      </c>
      <c r="I87" s="365"/>
      <c r="J87" s="365"/>
      <c r="K87" s="365"/>
      <c r="L87" s="365"/>
      <c r="M87" s="365"/>
      <c r="N87" s="365"/>
      <c r="O87" s="365"/>
      <c r="P87" s="365"/>
      <c r="Q87" s="365"/>
      <c r="R87" s="365"/>
      <c r="S87" s="365"/>
      <c r="T87" s="365"/>
      <c r="U87" s="365"/>
      <c r="V87" s="365"/>
      <c r="W87" s="365"/>
      <c r="X87" s="365"/>
      <c r="Y87" s="366"/>
    </row>
    <row r="88" spans="1:25" s="16" customFormat="1" ht="15.5" x14ac:dyDescent="0.35">
      <c r="A88" s="19" t="s">
        <v>36</v>
      </c>
      <c r="B88" s="25"/>
      <c r="C88" s="25"/>
      <c r="D88" s="133">
        <f>SUM(D79:D82)</f>
        <v>1162727.3218571155</v>
      </c>
      <c r="E88" s="20" t="str">
        <f>"in "&amp;'Data Inputs'!$C$52 &amp; " dollars"</f>
        <v>in 2016 dollars</v>
      </c>
      <c r="F88" s="55"/>
      <c r="G88" s="55"/>
      <c r="H88" s="380">
        <f>IF('Data Inputs'!P8=2, 'Cost Estimate'!H86, 'Cost Estimate'!H87)</f>
        <v>295918.61161775497</v>
      </c>
      <c r="I88" s="55"/>
      <c r="J88" s="55"/>
      <c r="K88" s="55"/>
      <c r="L88" s="55"/>
      <c r="M88" s="55"/>
      <c r="N88" s="55"/>
      <c r="O88" s="55"/>
      <c r="P88" s="55"/>
      <c r="Q88" s="55"/>
      <c r="R88" s="55"/>
      <c r="S88" s="55"/>
      <c r="T88" s="55"/>
      <c r="U88" s="55"/>
      <c r="V88" s="55"/>
      <c r="W88" s="55"/>
      <c r="X88" s="55"/>
      <c r="Y88" s="52"/>
    </row>
    <row r="89" spans="1:25" s="16" customFormat="1" ht="15.5" x14ac:dyDescent="0.35">
      <c r="F89" s="55"/>
      <c r="G89" s="55"/>
      <c r="H89" s="55"/>
      <c r="I89" s="55"/>
      <c r="J89" s="55"/>
      <c r="K89" s="55"/>
      <c r="L89" s="55"/>
      <c r="M89" s="55"/>
      <c r="N89" s="55"/>
      <c r="O89" s="55"/>
      <c r="P89" s="55"/>
      <c r="Q89" s="55"/>
      <c r="R89" s="55"/>
      <c r="S89" s="55"/>
      <c r="T89" s="55"/>
      <c r="U89" s="55"/>
      <c r="V89" s="55"/>
      <c r="W89" s="55"/>
      <c r="X89" s="55"/>
      <c r="Y89" s="52"/>
    </row>
    <row r="90" spans="1:25" s="16" customFormat="1" ht="15.5" x14ac:dyDescent="0.35">
      <c r="A90" s="514" t="s">
        <v>57</v>
      </c>
      <c r="B90" s="514"/>
      <c r="C90" s="514"/>
      <c r="D90" s="514"/>
      <c r="E90" s="514"/>
      <c r="F90" s="55"/>
      <c r="G90" s="55"/>
      <c r="H90" s="55"/>
      <c r="I90" s="55"/>
      <c r="J90" s="55"/>
      <c r="K90" s="55"/>
      <c r="L90" s="55"/>
      <c r="M90" s="55"/>
      <c r="N90" s="55"/>
      <c r="O90" s="55"/>
      <c r="P90" s="55"/>
      <c r="Q90" s="55"/>
      <c r="R90" s="55"/>
      <c r="S90" s="55"/>
      <c r="T90" s="55"/>
      <c r="U90" s="55"/>
      <c r="V90" s="55"/>
      <c r="W90" s="55"/>
      <c r="X90" s="55"/>
      <c r="Y90" s="52"/>
    </row>
    <row r="91" spans="1:25" s="16" customFormat="1" ht="15.5" x14ac:dyDescent="0.35">
      <c r="A91" s="511" t="s">
        <v>58</v>
      </c>
      <c r="B91" s="511"/>
      <c r="C91" s="511"/>
      <c r="D91" s="511"/>
      <c r="E91" s="511"/>
      <c r="F91" s="55"/>
      <c r="G91" s="55"/>
      <c r="H91" s="55"/>
      <c r="I91" s="55"/>
      <c r="J91" s="55"/>
      <c r="K91" s="55"/>
      <c r="L91" s="55"/>
      <c r="M91" s="55"/>
      <c r="N91" s="55"/>
      <c r="O91" s="55"/>
      <c r="P91" s="55"/>
      <c r="Q91" s="55"/>
      <c r="R91" s="55"/>
      <c r="S91" s="55"/>
      <c r="T91" s="55"/>
      <c r="U91" s="55"/>
      <c r="V91" s="55"/>
      <c r="W91" s="55"/>
      <c r="X91" s="55"/>
      <c r="Y91" s="52"/>
    </row>
    <row r="92" spans="1:25" s="16" customFormat="1" ht="15.5" x14ac:dyDescent="0.35">
      <c r="F92" s="55"/>
      <c r="G92" s="55"/>
      <c r="H92" s="55"/>
      <c r="I92" s="55"/>
      <c r="J92" s="55"/>
      <c r="K92" s="55"/>
      <c r="L92" s="55"/>
      <c r="M92" s="55"/>
      <c r="N92" s="55"/>
      <c r="O92" s="55"/>
      <c r="P92" s="55"/>
      <c r="Q92" s="55"/>
      <c r="R92" s="55"/>
      <c r="S92" s="55"/>
      <c r="T92" s="55"/>
      <c r="U92" s="55"/>
      <c r="V92" s="55"/>
      <c r="W92" s="55"/>
      <c r="X92" s="55"/>
      <c r="Y92" s="52"/>
    </row>
    <row r="93" spans="1:25" s="16" customFormat="1" ht="18" customHeight="1" x14ac:dyDescent="0.35">
      <c r="A93" s="26" t="s">
        <v>31</v>
      </c>
      <c r="B93" s="199" t="str">
        <f>'Data Inputs'!C65 &amp;" x (Operator Cost + 0.4 x Annual Maintenance Cost) ="</f>
        <v>0.03 x (Operator Cost + 0.4 x Annual Maintenance Cost) =</v>
      </c>
      <c r="C93" s="199"/>
      <c r="D93" s="130">
        <f>'Data Inputs'!C65*(('Data Inputs'!C31*'Data Inputs'!C58*'Data Inputs'!C59)+(0.4*D79))</f>
        <v>4204.4274400710719</v>
      </c>
      <c r="E93" s="41" t="str">
        <f>"in "&amp;'Data Inputs'!$C$52 &amp; " dollars"</f>
        <v>in 2016 dollars</v>
      </c>
      <c r="F93" s="55"/>
      <c r="G93" s="55"/>
      <c r="H93" s="55"/>
      <c r="I93" s="55"/>
      <c r="J93" s="55"/>
      <c r="K93" s="55"/>
      <c r="L93" s="55"/>
      <c r="M93" s="55"/>
      <c r="N93" s="55"/>
      <c r="O93" s="55"/>
      <c r="P93" s="55"/>
      <c r="Q93" s="55"/>
      <c r="R93" s="55"/>
      <c r="S93" s="55"/>
      <c r="T93" s="55"/>
      <c r="U93" s="55"/>
      <c r="V93" s="55"/>
      <c r="W93" s="55"/>
      <c r="X93" s="55"/>
      <c r="Y93" s="52"/>
    </row>
    <row r="94" spans="1:25" s="16" customFormat="1" ht="15.5" x14ac:dyDescent="0.35">
      <c r="A94" s="18" t="s">
        <v>111</v>
      </c>
      <c r="B94" s="24" t="s">
        <v>79</v>
      </c>
      <c r="C94" s="24"/>
      <c r="D94" s="136">
        <f>IF('Data Inputs'!P17&gt;2, B19*'SCR Design Parameters'!C59, (IF('Data Inputs'!P17=2, B29*'SCR Design Parameters'!C59, 0)))</f>
        <v>2108276.9384950222</v>
      </c>
      <c r="E94" s="43" t="str">
        <f>"in "&amp;'Data Inputs'!$C$52 &amp; " dollars"</f>
        <v>in 2016 dollars</v>
      </c>
      <c r="F94" s="55"/>
      <c r="G94" s="55"/>
      <c r="H94" s="55"/>
      <c r="I94" s="55"/>
      <c r="J94" s="55"/>
      <c r="K94" s="55"/>
      <c r="L94" s="55"/>
      <c r="M94" s="55"/>
      <c r="N94" s="55"/>
      <c r="O94" s="55"/>
      <c r="P94" s="55"/>
      <c r="Q94" s="55"/>
      <c r="R94" s="55"/>
      <c r="S94" s="55"/>
      <c r="T94" s="55"/>
      <c r="U94" s="55"/>
      <c r="V94" s="55"/>
      <c r="W94" s="55"/>
      <c r="X94" s="55"/>
      <c r="Y94" s="52"/>
    </row>
    <row r="95" spans="1:25" ht="15.5" x14ac:dyDescent="0.35">
      <c r="A95" s="19" t="s">
        <v>30</v>
      </c>
      <c r="B95" s="25" t="s">
        <v>32</v>
      </c>
      <c r="C95" s="25"/>
      <c r="D95" s="133">
        <f>D93+D94</f>
        <v>2112481.3659350933</v>
      </c>
      <c r="E95" s="20" t="str">
        <f>"in "&amp;'Data Inputs'!$C$52 &amp; " dollars"</f>
        <v>in 2016 dollars</v>
      </c>
    </row>
    <row r="96" spans="1:25" ht="15.5" x14ac:dyDescent="0.35">
      <c r="A96" s="16"/>
      <c r="B96" s="16"/>
      <c r="C96" s="16"/>
      <c r="D96" s="16"/>
      <c r="E96" s="16"/>
    </row>
    <row r="98" spans="1:5" ht="18.5" x14ac:dyDescent="0.45">
      <c r="A98" s="503" t="s">
        <v>49</v>
      </c>
      <c r="B98" s="503"/>
      <c r="C98" s="503"/>
      <c r="D98" s="503"/>
      <c r="E98" s="503"/>
    </row>
    <row r="99" spans="1:5" ht="15.5" x14ac:dyDescent="0.35">
      <c r="A99" s="16"/>
      <c r="B99" s="16"/>
      <c r="C99" s="16"/>
      <c r="D99" s="16"/>
      <c r="E99" s="16"/>
    </row>
    <row r="100" spans="1:5" ht="15.5" x14ac:dyDescent="0.35">
      <c r="A100" s="511" t="s">
        <v>40</v>
      </c>
      <c r="B100" s="511"/>
      <c r="C100" s="511"/>
      <c r="D100" s="511"/>
      <c r="E100" s="511"/>
    </row>
    <row r="101" spans="1:5" ht="15.5" x14ac:dyDescent="0.35">
      <c r="A101" s="16"/>
      <c r="B101" s="16"/>
      <c r="C101" s="16"/>
      <c r="D101" s="16"/>
      <c r="E101" s="16"/>
    </row>
    <row r="102" spans="1:5" ht="15.5" x14ac:dyDescent="0.35">
      <c r="A102" s="17" t="s">
        <v>39</v>
      </c>
      <c r="B102" s="376"/>
      <c r="C102" s="130">
        <f>C74</f>
        <v>3275208.687792209</v>
      </c>
      <c r="D102" s="507" t="str">
        <f>"per year in "&amp;'Data Inputs'!$C$52 &amp; " dollars"</f>
        <v>per year in 2016 dollars</v>
      </c>
      <c r="E102" s="508"/>
    </row>
    <row r="103" spans="1:5" ht="15.5" x14ac:dyDescent="0.35">
      <c r="A103" s="40" t="s">
        <v>41</v>
      </c>
      <c r="B103" s="377"/>
      <c r="C103" s="189">
        <f>'SCR Design Parameters'!C14</f>
        <v>778.32258285599994</v>
      </c>
      <c r="D103" s="28" t="s">
        <v>24</v>
      </c>
      <c r="E103" s="29"/>
    </row>
    <row r="104" spans="1:5" ht="15.5" x14ac:dyDescent="0.35">
      <c r="A104" s="19" t="s">
        <v>3</v>
      </c>
      <c r="B104" s="4"/>
      <c r="C104" s="133">
        <f>C102/C103</f>
        <v>4208.0350229259202</v>
      </c>
      <c r="D104" s="378" t="str">
        <f>"per ton of NOx removed in "&amp;'Data Inputs'!$C$52 &amp; " dollars"</f>
        <v>per ton of NOx removed in 2016 dollars</v>
      </c>
      <c r="E104" s="20"/>
    </row>
    <row r="105" spans="1:5" ht="15.5" x14ac:dyDescent="0.35">
      <c r="A105" s="16"/>
      <c r="B105" s="16"/>
      <c r="C105" s="16"/>
      <c r="D105" s="16"/>
      <c r="E105" s="16"/>
    </row>
  </sheetData>
  <sheetProtection formatRows="0"/>
  <mergeCells count="48">
    <mergeCell ref="A83:B83"/>
    <mergeCell ref="A69:E69"/>
    <mergeCell ref="A7:E7"/>
    <mergeCell ref="D102:E102"/>
    <mergeCell ref="A56:D56"/>
    <mergeCell ref="A67:E67"/>
    <mergeCell ref="A91:E91"/>
    <mergeCell ref="A98:E98"/>
    <mergeCell ref="A100:E100"/>
    <mergeCell ref="A58:E58"/>
    <mergeCell ref="A59:E59"/>
    <mergeCell ref="A60:E60"/>
    <mergeCell ref="A76:E76"/>
    <mergeCell ref="A77:E77"/>
    <mergeCell ref="A90:E90"/>
    <mergeCell ref="A70:E70"/>
    <mergeCell ref="A1:E1"/>
    <mergeCell ref="A3:E3"/>
    <mergeCell ref="A22:E22"/>
    <mergeCell ref="A5:E5"/>
    <mergeCell ref="A8:E8"/>
    <mergeCell ref="A9:E9"/>
    <mergeCell ref="A14:E14"/>
    <mergeCell ref="A16:E16"/>
    <mergeCell ref="A17:E17"/>
    <mergeCell ref="A15:E15"/>
    <mergeCell ref="A21:E21"/>
    <mergeCell ref="A13:E13"/>
    <mergeCell ref="A6:E6"/>
    <mergeCell ref="A43:E43"/>
    <mergeCell ref="A62:E62"/>
    <mergeCell ref="A52:E52"/>
    <mergeCell ref="A34:E34"/>
    <mergeCell ref="A50:E50"/>
    <mergeCell ref="A49:E49"/>
    <mergeCell ref="A51:E51"/>
    <mergeCell ref="A35:E35"/>
    <mergeCell ref="A44:E44"/>
    <mergeCell ref="A45:E45"/>
    <mergeCell ref="A53:E53"/>
    <mergeCell ref="A36:E36"/>
    <mergeCell ref="A37:E37"/>
    <mergeCell ref="A30:D30"/>
    <mergeCell ref="A11:E11"/>
    <mergeCell ref="A33:E33"/>
    <mergeCell ref="A41:E41"/>
    <mergeCell ref="A42:E42"/>
    <mergeCell ref="A23:E23"/>
  </mergeCells>
  <pageMargins left="0.7" right="0.7" top="0.75" bottom="0.75" header="0.3" footer="0.3"/>
  <pageSetup scale="77" orientation="landscape" r:id="rId1"/>
  <rowBreaks count="1" manualBreakCount="1">
    <brk id="6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DFFD117A687F4BBEEF3206719FB718" ma:contentTypeVersion="0" ma:contentTypeDescription="Create a new document." ma:contentTypeScope="" ma:versionID="950c161123550eef76ac92b61c93b34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E9AB42-2EC3-4FAF-B38E-FF14AABFDCCE}">
  <ds:schemaRefs>
    <ds:schemaRef ds:uri="http://schemas.microsoft.com/sharepoint/v3/contenttype/forms"/>
  </ds:schemaRefs>
</ds:datastoreItem>
</file>

<file path=customXml/itemProps2.xml><?xml version="1.0" encoding="utf-8"?>
<ds:datastoreItem xmlns:ds="http://schemas.openxmlformats.org/officeDocument/2006/customXml" ds:itemID="{15358E03-8943-4C85-8205-B191C2B4B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4407B09-8173-4E0D-A4F8-555F75CD1B75}">
  <ds:schemaRefs>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Me</vt:lpstr>
      <vt:lpstr>Data Inputs</vt:lpstr>
      <vt:lpstr>SCR Design Parameters</vt:lpstr>
      <vt:lpstr>Cost Estimate</vt:lpstr>
      <vt:lpstr>'Cost Estimate'!Print_Area</vt:lpstr>
      <vt:lpstr>'Data Inputs'!Print_Area</vt:lpstr>
      <vt:lpstr>'SCR Design Parameters'!Print_Area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Jones, David</cp:lastModifiedBy>
  <cp:lastPrinted>2018-02-17T01:08:45Z</cp:lastPrinted>
  <dcterms:created xsi:type="dcterms:W3CDTF">2016-01-22T14:12:08Z</dcterms:created>
  <dcterms:modified xsi:type="dcterms:W3CDTF">2019-11-08T20:08:45Z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0x010100C8DFFD117A687F4BBEEF3206719FB718</vt:lpwstr>
  </property>
  <property fmtid="{D5CDD505-2E9C-101B-9397-08002B2CF9AE}" pid="3" name="ESRI_WORKBOOK_ID">
    <vt:lpwstr>6d5355696713494b964c194ef293655d</vt:lpwstr>
  </property>
</Properties>
</file>