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buck\Desktop\_temp\"/>
    </mc:Choice>
  </mc:AlternateContent>
  <bookViews>
    <workbookView xWindow="0" yWindow="0" windowWidth="20835" windowHeight="10770"/>
  </bookViews>
  <sheets>
    <sheet name="5PctProgress" sheetId="8" r:id="rId1"/>
    <sheet name="STF-12" sheetId="1" r:id="rId2"/>
    <sheet name="2019_cntl" sheetId="9" r:id="rId3"/>
    <sheet name="EFs-BTU" sheetId="4" r:id="rId4"/>
    <sheet name="DevSumOut-2021PB" sheetId="6" r:id="rId5"/>
    <sheet name="AnnEmis2016-GVEA#1" sheetId="10" r:id="rId6"/>
    <sheet name="AnnEmis2016-GVEA" sheetId="11" r:id="rId7"/>
    <sheet name="EmissionUnit_Tabulations" sheetId="13" r:id="rId8"/>
    <sheet name="PopnFactors" sheetId="12" r:id="rId9"/>
  </sheets>
  <definedNames>
    <definedName name="_xlnm._FilterDatabase" localSheetId="6" hidden="1">'AnnEmis2016-GVEA'!$A$5:$BR$52</definedName>
    <definedName name="_xlnm._FilterDatabase" localSheetId="5" hidden="1">'AnnEmis2016-GVEA#1'!$A$5:$BR$52</definedName>
    <definedName name="_xlnm._FilterDatabase" localSheetId="4" hidden="1">'DevSumOut-2021PB'!$A$1:$W$26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Q60" i="13" l="1"/>
  <c r="BQ61" i="13" l="1"/>
  <c r="BQ62" i="13" s="1"/>
  <c r="D12" i="8" s="1"/>
  <c r="BG68" i="10"/>
  <c r="BG67" i="10"/>
  <c r="BO4" i="13" l="1"/>
  <c r="BH4" i="13"/>
  <c r="BA4" i="13"/>
  <c r="AT4" i="13"/>
  <c r="BB4" i="13" l="1"/>
  <c r="BP4" i="13"/>
  <c r="BI4" i="13"/>
  <c r="AU4" i="13"/>
  <c r="BJ4" i="13" l="1"/>
  <c r="BC4" i="13"/>
  <c r="AV4" i="13"/>
  <c r="BQ4" i="13"/>
  <c r="AW4" i="13" l="1"/>
  <c r="BK4" i="13"/>
  <c r="BD4" i="13"/>
  <c r="BR4" i="13"/>
  <c r="BS4" i="13" l="1"/>
  <c r="BE4" i="13"/>
  <c r="BL4" i="13"/>
  <c r="AX4" i="13"/>
  <c r="BM4" i="13" l="1"/>
  <c r="AY4" i="13"/>
  <c r="BF4" i="13"/>
  <c r="BT4" i="13"/>
  <c r="BU4" i="13" l="1"/>
  <c r="BN4" i="13"/>
  <c r="BG4" i="13"/>
  <c r="AZ4" i="13"/>
  <c r="X66" i="11" l="1"/>
  <c r="Q66" i="11"/>
  <c r="X65" i="11"/>
  <c r="Q65" i="11"/>
  <c r="X64" i="11"/>
  <c r="Q64" i="11"/>
  <c r="X63" i="11"/>
  <c r="Q63" i="11"/>
  <c r="Q67" i="11" s="1"/>
  <c r="X69" i="11" s="1"/>
  <c r="Q58" i="11"/>
  <c r="Q57" i="11"/>
  <c r="F43" i="11"/>
  <c r="E43" i="11"/>
  <c r="F37" i="11"/>
  <c r="E37" i="11"/>
  <c r="F36" i="11"/>
  <c r="E36" i="11"/>
  <c r="F35" i="11"/>
  <c r="E35" i="11"/>
  <c r="BR34" i="11"/>
  <c r="BL34" i="11"/>
  <c r="BK34" i="11"/>
  <c r="BJ34" i="11"/>
  <c r="BG34" i="11"/>
  <c r="BF34" i="11"/>
  <c r="BC34" i="11"/>
  <c r="BB34" i="11"/>
  <c r="BI34" i="11" s="1"/>
  <c r="BA34" i="11"/>
  <c r="BH34" i="11" s="1"/>
  <c r="AZ34" i="11"/>
  <c r="BN34" i="11" s="1"/>
  <c r="AY34" i="11"/>
  <c r="AX34" i="11" s="1"/>
  <c r="BE34" i="11" s="1"/>
  <c r="F34" i="11"/>
  <c r="E34" i="11"/>
  <c r="BR33" i="11"/>
  <c r="BL33" i="11"/>
  <c r="BK33" i="11"/>
  <c r="BI33" i="11"/>
  <c r="BH33" i="11"/>
  <c r="BC33" i="11"/>
  <c r="BJ33" i="11" s="1"/>
  <c r="BB33" i="11"/>
  <c r="BA33" i="11"/>
  <c r="AZ33" i="11"/>
  <c r="BN33" i="11" s="1"/>
  <c r="AY33" i="11"/>
  <c r="AX33" i="11" s="1"/>
  <c r="BE33" i="11" s="1"/>
  <c r="F33" i="11"/>
  <c r="E33" i="11"/>
  <c r="BR32" i="11"/>
  <c r="BL32" i="11"/>
  <c r="BK32" i="11"/>
  <c r="BJ32" i="11"/>
  <c r="BI32" i="11"/>
  <c r="BF32" i="11"/>
  <c r="BE32" i="11"/>
  <c r="BC32" i="11"/>
  <c r="BB32" i="11"/>
  <c r="BA32" i="11"/>
  <c r="BH32" i="11" s="1"/>
  <c r="AZ32" i="11"/>
  <c r="BN32" i="11" s="1"/>
  <c r="AY32" i="11"/>
  <c r="AX32" i="11"/>
  <c r="F32" i="11"/>
  <c r="E32" i="11"/>
  <c r="BR31" i="11"/>
  <c r="BL31" i="11"/>
  <c r="BK31" i="11"/>
  <c r="BH31" i="11"/>
  <c r="BG31" i="11"/>
  <c r="BC31" i="11"/>
  <c r="BJ31" i="11" s="1"/>
  <c r="BB31" i="11"/>
  <c r="BI31" i="11" s="1"/>
  <c r="BA31" i="11"/>
  <c r="AZ31" i="11"/>
  <c r="BN31" i="11" s="1"/>
  <c r="AY31" i="11"/>
  <c r="BF31" i="11" s="1"/>
  <c r="AX31" i="11"/>
  <c r="BE31" i="11" s="1"/>
  <c r="F31" i="11"/>
  <c r="E31" i="11"/>
  <c r="BR30" i="11"/>
  <c r="BL30" i="11"/>
  <c r="BK30" i="11"/>
  <c r="BI30" i="11"/>
  <c r="BH30" i="11"/>
  <c r="BC30" i="11"/>
  <c r="BJ30" i="11" s="1"/>
  <c r="BB30" i="11"/>
  <c r="BA30" i="11"/>
  <c r="AZ30" i="11"/>
  <c r="BN30" i="11" s="1"/>
  <c r="AY30" i="11"/>
  <c r="AX30" i="11" s="1"/>
  <c r="BE30" i="11" s="1"/>
  <c r="F30" i="11"/>
  <c r="E30" i="11"/>
  <c r="BR29" i="11"/>
  <c r="BL29" i="11"/>
  <c r="BK29" i="11"/>
  <c r="BK58" i="11" s="1"/>
  <c r="BJ29" i="11"/>
  <c r="BJ58" i="11" s="1"/>
  <c r="BG29" i="11"/>
  <c r="BF29" i="11"/>
  <c r="BC29" i="11"/>
  <c r="BB29" i="11"/>
  <c r="BI29" i="11" s="1"/>
  <c r="BI58" i="11" s="1"/>
  <c r="BA29" i="11"/>
  <c r="BH29" i="11" s="1"/>
  <c r="AZ29" i="11"/>
  <c r="BN29" i="11" s="1"/>
  <c r="AY29" i="11"/>
  <c r="AX29" i="11" s="1"/>
  <c r="BE29" i="11" s="1"/>
  <c r="BE58" i="11" s="1"/>
  <c r="F29" i="11"/>
  <c r="E29" i="11"/>
  <c r="F28" i="11"/>
  <c r="E28" i="11"/>
  <c r="BR27" i="11"/>
  <c r="BL27" i="11"/>
  <c r="BK27" i="11"/>
  <c r="BI27" i="11"/>
  <c r="BH27" i="11"/>
  <c r="BC27" i="11"/>
  <c r="BJ27" i="11" s="1"/>
  <c r="BB27" i="11"/>
  <c r="BA27" i="11"/>
  <c r="AZ27" i="11"/>
  <c r="BG27" i="11" s="1"/>
  <c r="AY27" i="11"/>
  <c r="AX27" i="11" s="1"/>
  <c r="BE27" i="11" s="1"/>
  <c r="F27" i="11"/>
  <c r="E27" i="11"/>
  <c r="BR26" i="11"/>
  <c r="BL26" i="11"/>
  <c r="BK26" i="11"/>
  <c r="BJ26" i="11"/>
  <c r="BI26" i="11"/>
  <c r="BF26" i="11"/>
  <c r="BC26" i="11"/>
  <c r="BB26" i="11"/>
  <c r="BA26" i="11"/>
  <c r="BH26" i="11" s="1"/>
  <c r="AZ26" i="11"/>
  <c r="BG26" i="11" s="1"/>
  <c r="AY26" i="11"/>
  <c r="AX26" i="11" s="1"/>
  <c r="BE26" i="11" s="1"/>
  <c r="F26" i="11"/>
  <c r="E26" i="11"/>
  <c r="BR25" i="11"/>
  <c r="BL25" i="11"/>
  <c r="BK25" i="11"/>
  <c r="BH25" i="11"/>
  <c r="BG25" i="11"/>
  <c r="BC25" i="11"/>
  <c r="BJ25" i="11" s="1"/>
  <c r="BB25" i="11"/>
  <c r="BI25" i="11" s="1"/>
  <c r="BA25" i="11"/>
  <c r="AZ25" i="11"/>
  <c r="BN25" i="11" s="1"/>
  <c r="AY25" i="11"/>
  <c r="AX25" i="11" s="1"/>
  <c r="BE25" i="11" s="1"/>
  <c r="F25" i="11"/>
  <c r="E25" i="11"/>
  <c r="BR24" i="11"/>
  <c r="BL24" i="11"/>
  <c r="BK24" i="11"/>
  <c r="BI24" i="11"/>
  <c r="BH24" i="11"/>
  <c r="BC24" i="11"/>
  <c r="BJ24" i="11" s="1"/>
  <c r="BB24" i="11"/>
  <c r="BA24" i="11"/>
  <c r="AZ24" i="11"/>
  <c r="BG24" i="11" s="1"/>
  <c r="AY24" i="11"/>
  <c r="AX24" i="11" s="1"/>
  <c r="BE24" i="11" s="1"/>
  <c r="F24" i="11"/>
  <c r="E24" i="11"/>
  <c r="BR23" i="11"/>
  <c r="BL23" i="11"/>
  <c r="BK23" i="11"/>
  <c r="BK57" i="11" s="1"/>
  <c r="BJ23" i="11"/>
  <c r="BJ57" i="11" s="1"/>
  <c r="BG23" i="11"/>
  <c r="BF23" i="11"/>
  <c r="BC23" i="11"/>
  <c r="BB23" i="11"/>
  <c r="BI23" i="11" s="1"/>
  <c r="BI57" i="11" s="1"/>
  <c r="BA23" i="11"/>
  <c r="BH23" i="11" s="1"/>
  <c r="BH57" i="11" s="1"/>
  <c r="AZ23" i="11"/>
  <c r="BN23" i="11" s="1"/>
  <c r="AY23" i="11"/>
  <c r="AX23" i="11"/>
  <c r="BE23" i="11" s="1"/>
  <c r="F23" i="11"/>
  <c r="E23" i="11"/>
  <c r="F20" i="11"/>
  <c r="E20" i="11"/>
  <c r="F18" i="11"/>
  <c r="E18" i="11"/>
  <c r="F16" i="11"/>
  <c r="E16" i="11"/>
  <c r="F9" i="11"/>
  <c r="E9" i="11"/>
  <c r="F7" i="11"/>
  <c r="E7" i="11"/>
  <c r="X69" i="10"/>
  <c r="Q67" i="10"/>
  <c r="X66" i="10"/>
  <c r="Q66" i="10"/>
  <c r="BG65" i="10"/>
  <c r="X65" i="10"/>
  <c r="Q65" i="10"/>
  <c r="X64" i="10"/>
  <c r="Q64" i="10"/>
  <c r="X63" i="10"/>
  <c r="Q63" i="10"/>
  <c r="Q58" i="10"/>
  <c r="Q57" i="10"/>
  <c r="F43" i="10"/>
  <c r="E43" i="10"/>
  <c r="F37" i="10"/>
  <c r="E37" i="10"/>
  <c r="F36" i="10"/>
  <c r="E36" i="10"/>
  <c r="F35" i="10"/>
  <c r="E35" i="10"/>
  <c r="BR34" i="10"/>
  <c r="BL34" i="10"/>
  <c r="BK34" i="10"/>
  <c r="BI34" i="10"/>
  <c r="BH34" i="10"/>
  <c r="BC34" i="10"/>
  <c r="BJ34" i="10" s="1"/>
  <c r="BB34" i="10"/>
  <c r="BA34" i="10"/>
  <c r="AZ34" i="10"/>
  <c r="BN34" i="10" s="1"/>
  <c r="AY34" i="10"/>
  <c r="AX34" i="10" s="1"/>
  <c r="BE34" i="10" s="1"/>
  <c r="F34" i="10"/>
  <c r="E34" i="10"/>
  <c r="BR33" i="10"/>
  <c r="BL33" i="10"/>
  <c r="BK33" i="10"/>
  <c r="BJ33" i="10"/>
  <c r="BG33" i="10"/>
  <c r="BF33" i="10"/>
  <c r="BC33" i="10"/>
  <c r="BB33" i="10"/>
  <c r="BI33" i="10" s="1"/>
  <c r="BA33" i="10"/>
  <c r="BH33" i="10" s="1"/>
  <c r="AZ33" i="10"/>
  <c r="BN33" i="10" s="1"/>
  <c r="AY33" i="10"/>
  <c r="AX33" i="10" s="1"/>
  <c r="BE33" i="10" s="1"/>
  <c r="F33" i="10"/>
  <c r="E33" i="10"/>
  <c r="BR32" i="10"/>
  <c r="BN32" i="10"/>
  <c r="BL32" i="10"/>
  <c r="BK32" i="10"/>
  <c r="BH32" i="10"/>
  <c r="BG32" i="10"/>
  <c r="BF32" i="10"/>
  <c r="BE32" i="10"/>
  <c r="BC32" i="10"/>
  <c r="BJ32" i="10" s="1"/>
  <c r="BB32" i="10"/>
  <c r="BI32" i="10" s="1"/>
  <c r="BA32" i="10"/>
  <c r="AY32" i="10"/>
  <c r="AX32" i="10"/>
  <c r="F32" i="10"/>
  <c r="E32" i="10"/>
  <c r="BR31" i="10"/>
  <c r="BL31" i="10"/>
  <c r="BK31" i="10"/>
  <c r="BI31" i="10"/>
  <c r="BH31" i="10"/>
  <c r="BC31" i="10"/>
  <c r="BJ31" i="10" s="1"/>
  <c r="BB31" i="10"/>
  <c r="BA31" i="10"/>
  <c r="AZ31" i="10"/>
  <c r="BG31" i="10" s="1"/>
  <c r="AY31" i="10"/>
  <c r="AX31" i="10" s="1"/>
  <c r="BE31" i="10" s="1"/>
  <c r="F31" i="10"/>
  <c r="E31" i="10"/>
  <c r="BR30" i="10"/>
  <c r="BN30" i="10"/>
  <c r="BL30" i="10"/>
  <c r="BK30" i="10"/>
  <c r="BJ30" i="10"/>
  <c r="BI30" i="10"/>
  <c r="BG30" i="10"/>
  <c r="BC30" i="10"/>
  <c r="BB30" i="10"/>
  <c r="BA30" i="10"/>
  <c r="BH30" i="10" s="1"/>
  <c r="AY30" i="10"/>
  <c r="BF30" i="10" s="1"/>
  <c r="F30" i="10"/>
  <c r="E30" i="10"/>
  <c r="BR29" i="10"/>
  <c r="BL29" i="10"/>
  <c r="BK29" i="10"/>
  <c r="BK58" i="10" s="1"/>
  <c r="BJ29" i="10"/>
  <c r="BJ58" i="10" s="1"/>
  <c r="BG29" i="10"/>
  <c r="BF29" i="10"/>
  <c r="BC29" i="10"/>
  <c r="BB29" i="10"/>
  <c r="BI29" i="10" s="1"/>
  <c r="BA29" i="10"/>
  <c r="BH29" i="10" s="1"/>
  <c r="AZ29" i="10"/>
  <c r="BN29" i="10" s="1"/>
  <c r="AY29" i="10"/>
  <c r="AX29" i="10"/>
  <c r="BE29" i="10" s="1"/>
  <c r="F29" i="10"/>
  <c r="E29" i="10"/>
  <c r="F28" i="10"/>
  <c r="E28" i="10"/>
  <c r="BR27" i="10"/>
  <c r="BN27" i="10"/>
  <c r="BL27" i="10"/>
  <c r="BK27" i="10"/>
  <c r="BI27" i="10"/>
  <c r="BH27" i="10"/>
  <c r="BG27" i="10"/>
  <c r="BC27" i="10"/>
  <c r="BJ27" i="10" s="1"/>
  <c r="BB27" i="10"/>
  <c r="BA27" i="10"/>
  <c r="AY27" i="10"/>
  <c r="BF27" i="10" s="1"/>
  <c r="AX27" i="10"/>
  <c r="BE27" i="10" s="1"/>
  <c r="F27" i="10"/>
  <c r="E27" i="10"/>
  <c r="BR26" i="10"/>
  <c r="BN26" i="10"/>
  <c r="BL26" i="10"/>
  <c r="BK26" i="10"/>
  <c r="BI26" i="10"/>
  <c r="BH26" i="10"/>
  <c r="BG26" i="10"/>
  <c r="BC26" i="10"/>
  <c r="BJ26" i="10" s="1"/>
  <c r="BB26" i="10"/>
  <c r="BA26" i="10"/>
  <c r="AY26" i="10"/>
  <c r="AX26" i="10" s="1"/>
  <c r="BE26" i="10" s="1"/>
  <c r="F26" i="10"/>
  <c r="E26" i="10"/>
  <c r="BR25" i="10"/>
  <c r="BL25" i="10"/>
  <c r="BK25" i="10"/>
  <c r="BJ25" i="10"/>
  <c r="BI25" i="10"/>
  <c r="BF25" i="10"/>
  <c r="BE25" i="10"/>
  <c r="BC25" i="10"/>
  <c r="BB25" i="10"/>
  <c r="BA25" i="10"/>
  <c r="BH25" i="10" s="1"/>
  <c r="AZ25" i="10"/>
  <c r="BN25" i="10" s="1"/>
  <c r="AY25" i="10"/>
  <c r="AX25" i="10"/>
  <c r="F25" i="10"/>
  <c r="E25" i="10"/>
  <c r="BR24" i="10"/>
  <c r="BN24" i="10"/>
  <c r="BL24" i="10"/>
  <c r="BK24" i="10"/>
  <c r="BJ24" i="10"/>
  <c r="BG24" i="10"/>
  <c r="BF24" i="10"/>
  <c r="BE24" i="10"/>
  <c r="BC24" i="10"/>
  <c r="BB24" i="10"/>
  <c r="BI24" i="10" s="1"/>
  <c r="BA24" i="10"/>
  <c r="BH24" i="10" s="1"/>
  <c r="BH57" i="10" s="1"/>
  <c r="AY24" i="10"/>
  <c r="AX24" i="10"/>
  <c r="F24" i="10"/>
  <c r="E24" i="10"/>
  <c r="BR23" i="10"/>
  <c r="BL23" i="10"/>
  <c r="BK23" i="10"/>
  <c r="BK57" i="10" s="1"/>
  <c r="BH23" i="10"/>
  <c r="BG23" i="10"/>
  <c r="BC23" i="10"/>
  <c r="BJ23" i="10" s="1"/>
  <c r="BJ57" i="10" s="1"/>
  <c r="BB23" i="10"/>
  <c r="BI23" i="10" s="1"/>
  <c r="BI57" i="10" s="1"/>
  <c r="BA23" i="10"/>
  <c r="AZ23" i="10"/>
  <c r="BN23" i="10" s="1"/>
  <c r="AY23" i="10"/>
  <c r="BF23" i="10" s="1"/>
  <c r="AX23" i="10"/>
  <c r="BE23" i="10" s="1"/>
  <c r="BE57" i="10" s="1"/>
  <c r="F23" i="10"/>
  <c r="E23" i="10"/>
  <c r="F20" i="10"/>
  <c r="E20" i="10"/>
  <c r="F18" i="10"/>
  <c r="E18" i="10"/>
  <c r="F16" i="10"/>
  <c r="E16" i="10"/>
  <c r="F9" i="10"/>
  <c r="E9" i="10"/>
  <c r="F7" i="10"/>
  <c r="E7" i="10"/>
  <c r="BG57" i="11" l="1"/>
  <c r="BI58" i="10"/>
  <c r="BH58" i="11"/>
  <c r="BH58" i="10"/>
  <c r="BE57" i="11"/>
  <c r="BN31" i="10"/>
  <c r="BN24" i="11"/>
  <c r="BN27" i="11"/>
  <c r="BG25" i="10"/>
  <c r="BG57" i="10" s="1"/>
  <c r="BF34" i="10"/>
  <c r="BF30" i="11"/>
  <c r="BF58" i="11" s="1"/>
  <c r="BF33" i="11"/>
  <c r="AX30" i="10"/>
  <c r="BE30" i="10" s="1"/>
  <c r="BE58" i="10" s="1"/>
  <c r="BG34" i="10"/>
  <c r="BG58" i="10" s="1"/>
  <c r="BF25" i="11"/>
  <c r="BG30" i="11"/>
  <c r="BG58" i="11" s="1"/>
  <c r="BG33" i="11"/>
  <c r="BN26" i="11"/>
  <c r="BF26" i="10"/>
  <c r="BF57" i="10" s="1"/>
  <c r="BF31" i="10"/>
  <c r="BF58" i="10" s="1"/>
  <c r="BF24" i="11"/>
  <c r="BF57" i="11" s="1"/>
  <c r="BF27" i="11"/>
  <c r="BG32" i="11"/>
  <c r="BG61" i="10" l="1"/>
  <c r="BG66" i="10" s="1"/>
  <c r="D8" i="8" l="1"/>
  <c r="D9" i="8" s="1"/>
  <c r="B8" i="8"/>
  <c r="B9" i="8" s="1"/>
  <c r="I4" i="9"/>
  <c r="K10" i="9" l="1"/>
  <c r="K7" i="9"/>
  <c r="H25" i="9"/>
  <c r="G12" i="9"/>
  <c r="K26" i="9"/>
  <c r="H28" i="9"/>
  <c r="I28" i="9"/>
  <c r="H23" i="9"/>
  <c r="H10" i="9"/>
  <c r="H31" i="9"/>
  <c r="H9" i="9"/>
  <c r="H30" i="9"/>
  <c r="H22" i="9"/>
  <c r="H3" i="9"/>
  <c r="H24" i="9"/>
  <c r="I11" i="9"/>
  <c r="G30" i="9"/>
  <c r="G22" i="9"/>
  <c r="G9" i="9"/>
  <c r="G31" i="9"/>
  <c r="G23" i="9"/>
  <c r="G10" i="9"/>
  <c r="I31" i="9"/>
  <c r="I3" i="9"/>
  <c r="H11" i="9"/>
  <c r="K28" i="9"/>
  <c r="K24" i="9"/>
  <c r="K3" i="9"/>
  <c r="G29" i="9"/>
  <c r="K6" i="9"/>
  <c r="G6" i="9"/>
  <c r="I27" i="9"/>
  <c r="I25" i="9"/>
  <c r="I29" i="9"/>
  <c r="K5" i="9"/>
  <c r="K22" i="9"/>
  <c r="K30" i="9"/>
  <c r="K4" i="9"/>
  <c r="K9" i="9"/>
  <c r="K29" i="9"/>
  <c r="G27" i="9"/>
  <c r="G25" i="9"/>
  <c r="H27" i="9"/>
  <c r="H29" i="9"/>
  <c r="H6" i="9"/>
  <c r="I5" i="9"/>
  <c r="I9" i="9"/>
  <c r="I22" i="9"/>
  <c r="I26" i="9"/>
  <c r="I30" i="9"/>
  <c r="J3" i="9"/>
  <c r="I10" i="9"/>
  <c r="I23" i="9"/>
  <c r="G24" i="9"/>
  <c r="G28" i="9"/>
  <c r="I6" i="9"/>
  <c r="G3" i="9"/>
  <c r="K23" i="9"/>
  <c r="G11" i="9"/>
  <c r="G4" i="9"/>
  <c r="H4" i="9"/>
  <c r="J10" i="9" l="1"/>
  <c r="K31" i="9"/>
  <c r="K11" i="9"/>
  <c r="J12" i="9"/>
  <c r="H12" i="9"/>
  <c r="J8" i="9"/>
  <c r="H26" i="9"/>
  <c r="G5" i="9"/>
  <c r="J6" i="9"/>
  <c r="K12" i="9"/>
  <c r="J29" i="9"/>
  <c r="J31" i="9"/>
  <c r="J30" i="9"/>
  <c r="J22" i="9"/>
  <c r="J9" i="9"/>
  <c r="J4" i="9"/>
  <c r="I12" i="9"/>
  <c r="H7" i="9"/>
  <c r="K8" i="9"/>
  <c r="J5" i="9"/>
  <c r="H5" i="9"/>
  <c r="K27" i="9"/>
  <c r="J27" i="9"/>
  <c r="G7" i="9"/>
  <c r="J11" i="9"/>
  <c r="K25" i="9"/>
  <c r="H8" i="9"/>
  <c r="I8" i="9"/>
  <c r="I24" i="9"/>
  <c r="J26" i="9"/>
  <c r="G26" i="9"/>
  <c r="G8" i="9"/>
  <c r="J25" i="9"/>
  <c r="J23" i="9"/>
  <c r="J7" i="9"/>
  <c r="J28" i="9"/>
  <c r="J24" i="9"/>
  <c r="I7" i="9"/>
  <c r="B153" i="1" l="1"/>
  <c r="U81" i="6"/>
  <c r="AA80" i="6"/>
  <c r="Y80" i="6"/>
  <c r="U80" i="6"/>
  <c r="AE80" i="6" s="1"/>
  <c r="T80" i="6"/>
  <c r="S80" i="6"/>
  <c r="AD80" i="6" s="1"/>
  <c r="R80" i="6"/>
  <c r="AC80" i="6" s="1"/>
  <c r="Q80" i="6"/>
  <c r="AB80" i="6" s="1"/>
  <c r="P80" i="6"/>
  <c r="O80" i="6"/>
  <c r="Z80" i="6" s="1"/>
  <c r="N80" i="6"/>
  <c r="AD79" i="6"/>
  <c r="AB79" i="6"/>
  <c r="AA79" i="6"/>
  <c r="U79" i="6"/>
  <c r="T79" i="6"/>
  <c r="AE79" i="6" s="1"/>
  <c r="S79" i="6"/>
  <c r="R79" i="6"/>
  <c r="AC79" i="6" s="1"/>
  <c r="Q79" i="6"/>
  <c r="P79" i="6"/>
  <c r="O79" i="6"/>
  <c r="Z79" i="6" s="1"/>
  <c r="N79" i="6"/>
  <c r="Y79" i="6" s="1"/>
  <c r="AE78" i="6"/>
  <c r="Z78" i="6"/>
  <c r="Y78" i="6"/>
  <c r="V78" i="6"/>
  <c r="U78" i="6"/>
  <c r="T78" i="6"/>
  <c r="S78" i="6"/>
  <c r="S81" i="6" s="1"/>
  <c r="AD81" i="6" s="1"/>
  <c r="R78" i="6"/>
  <c r="AC78" i="6" s="1"/>
  <c r="Q78" i="6"/>
  <c r="AB78" i="6" s="1"/>
  <c r="P78" i="6"/>
  <c r="AA78" i="6" s="1"/>
  <c r="O78" i="6"/>
  <c r="N78" i="6"/>
  <c r="AC77" i="6"/>
  <c r="AB77" i="6"/>
  <c r="Y77" i="6"/>
  <c r="U77" i="6"/>
  <c r="T77" i="6"/>
  <c r="AE77" i="6" s="1"/>
  <c r="S77" i="6"/>
  <c r="AD77" i="6" s="1"/>
  <c r="R77" i="6"/>
  <c r="Q77" i="6"/>
  <c r="P77" i="6"/>
  <c r="P81" i="6" s="1"/>
  <c r="AA81" i="6" s="1"/>
  <c r="O77" i="6"/>
  <c r="Z77" i="6" s="1"/>
  <c r="N77" i="6"/>
  <c r="AB76" i="6"/>
  <c r="Z76" i="6"/>
  <c r="V76" i="6"/>
  <c r="U76" i="6"/>
  <c r="AA76" i="6" s="1"/>
  <c r="T76" i="6"/>
  <c r="AE76" i="6" s="1"/>
  <c r="S76" i="6"/>
  <c r="AD76" i="6" s="1"/>
  <c r="R76" i="6"/>
  <c r="AC76" i="6" s="1"/>
  <c r="Q76" i="6"/>
  <c r="Q81" i="6" s="1"/>
  <c r="AB81" i="6" s="1"/>
  <c r="P76" i="6"/>
  <c r="O76" i="6"/>
  <c r="O81" i="6" s="1"/>
  <c r="Z81" i="6" s="1"/>
  <c r="N76" i="6"/>
  <c r="N81" i="6" s="1"/>
  <c r="Y81" i="6" s="1"/>
  <c r="AD75" i="6"/>
  <c r="U75" i="6"/>
  <c r="AC75" i="6" s="1"/>
  <c r="T75" i="6"/>
  <c r="AE75" i="6" s="1"/>
  <c r="S75" i="6"/>
  <c r="R75" i="6"/>
  <c r="Q75" i="6"/>
  <c r="AB75" i="6" s="1"/>
  <c r="P75" i="6"/>
  <c r="AA75" i="6" s="1"/>
  <c r="O75" i="6"/>
  <c r="Z75" i="6" s="1"/>
  <c r="N75" i="6"/>
  <c r="Y75" i="6" s="1"/>
  <c r="AA74" i="6"/>
  <c r="Z74" i="6"/>
  <c r="U74" i="6"/>
  <c r="T74" i="6"/>
  <c r="AE74" i="6" s="1"/>
  <c r="S74" i="6"/>
  <c r="AD74" i="6" s="1"/>
  <c r="R74" i="6"/>
  <c r="AC74" i="6" s="1"/>
  <c r="Q74" i="6"/>
  <c r="AB74" i="6" s="1"/>
  <c r="P74" i="6"/>
  <c r="O74" i="6"/>
  <c r="N74" i="6"/>
  <c r="Y74" i="6" s="1"/>
  <c r="AE70" i="6"/>
  <c r="AD70" i="6"/>
  <c r="AC70" i="6"/>
  <c r="AB70" i="6"/>
  <c r="AA70" i="6"/>
  <c r="Z70" i="6"/>
  <c r="Y70" i="6"/>
  <c r="AE69" i="6"/>
  <c r="AD69" i="6"/>
  <c r="AC69" i="6"/>
  <c r="AB69" i="6"/>
  <c r="AA69" i="6"/>
  <c r="Z69" i="6"/>
  <c r="Y69" i="6"/>
  <c r="AE66" i="6"/>
  <c r="AD66" i="6"/>
  <c r="AC66" i="6"/>
  <c r="AB66" i="6"/>
  <c r="AA66" i="6"/>
  <c r="Z66" i="6"/>
  <c r="Y66" i="6"/>
  <c r="AE65" i="6"/>
  <c r="AD65" i="6"/>
  <c r="AC65" i="6"/>
  <c r="AB65" i="6"/>
  <c r="AA65" i="6"/>
  <c r="Z65" i="6"/>
  <c r="Y65" i="6"/>
  <c r="AE64" i="6"/>
  <c r="AD64" i="6"/>
  <c r="AC64" i="6"/>
  <c r="AB64" i="6"/>
  <c r="AA64" i="6"/>
  <c r="Z64" i="6"/>
  <c r="Y64" i="6"/>
  <c r="AE63" i="6"/>
  <c r="AD63" i="6"/>
  <c r="AC63" i="6"/>
  <c r="AB63" i="6"/>
  <c r="AA63" i="6"/>
  <c r="Z63" i="6"/>
  <c r="Y63" i="6"/>
  <c r="AE62" i="6"/>
  <c r="AD62" i="6"/>
  <c r="AC62" i="6"/>
  <c r="AB62" i="6"/>
  <c r="AA62" i="6"/>
  <c r="Z62" i="6"/>
  <c r="Y62" i="6"/>
  <c r="AE61" i="6"/>
  <c r="AD61" i="6"/>
  <c r="AC61" i="6"/>
  <c r="AB61" i="6"/>
  <c r="AA61" i="6"/>
  <c r="Z61" i="6"/>
  <c r="Y61" i="6"/>
  <c r="AE60" i="6"/>
  <c r="AD60" i="6"/>
  <c r="AC60" i="6"/>
  <c r="AB60" i="6"/>
  <c r="AA60" i="6"/>
  <c r="Z60" i="6"/>
  <c r="Y60" i="6"/>
  <c r="AE59" i="6"/>
  <c r="AD59" i="6"/>
  <c r="AC59" i="6"/>
  <c r="AB59" i="6"/>
  <c r="AA59" i="6"/>
  <c r="Z59" i="6"/>
  <c r="Y59" i="6"/>
  <c r="AE58" i="6"/>
  <c r="AD58" i="6"/>
  <c r="AC58" i="6"/>
  <c r="AB58" i="6"/>
  <c r="AA58" i="6"/>
  <c r="Z58" i="6"/>
  <c r="Y58" i="6"/>
  <c r="AE57" i="6"/>
  <c r="AD57" i="6"/>
  <c r="AC57" i="6"/>
  <c r="AB57" i="6"/>
  <c r="AA57" i="6"/>
  <c r="Z57" i="6"/>
  <c r="Y57" i="6"/>
  <c r="AE56" i="6"/>
  <c r="AD56" i="6"/>
  <c r="AC56" i="6"/>
  <c r="AB56" i="6"/>
  <c r="AA56" i="6"/>
  <c r="Z56" i="6"/>
  <c r="Y56" i="6"/>
  <c r="AE55" i="6"/>
  <c r="AD55" i="6"/>
  <c r="AC55" i="6"/>
  <c r="AB55" i="6"/>
  <c r="AA55" i="6"/>
  <c r="Z55" i="6"/>
  <c r="Y55" i="6"/>
  <c r="AE54" i="6"/>
  <c r="AD54" i="6"/>
  <c r="AC54" i="6"/>
  <c r="AB54" i="6"/>
  <c r="AA54" i="6"/>
  <c r="Z54" i="6"/>
  <c r="Y54" i="6"/>
  <c r="AE53" i="6"/>
  <c r="AD53" i="6"/>
  <c r="AC53" i="6"/>
  <c r="AB53" i="6"/>
  <c r="AA53" i="6"/>
  <c r="Z53" i="6"/>
  <c r="Y53" i="6"/>
  <c r="AE52" i="6"/>
  <c r="AD52" i="6"/>
  <c r="AC52" i="6"/>
  <c r="AB52" i="6"/>
  <c r="AA52" i="6"/>
  <c r="Z52" i="6"/>
  <c r="Y52" i="6"/>
  <c r="AE51" i="6"/>
  <c r="AD51" i="6"/>
  <c r="AC51" i="6"/>
  <c r="AB51" i="6"/>
  <c r="AA51" i="6"/>
  <c r="Z51" i="6"/>
  <c r="Y51" i="6"/>
  <c r="AE50" i="6"/>
  <c r="AD50" i="6"/>
  <c r="AC50" i="6"/>
  <c r="AB50" i="6"/>
  <c r="AA50" i="6"/>
  <c r="Z50" i="6"/>
  <c r="Y50" i="6"/>
  <c r="D136" i="4"/>
  <c r="D118" i="4"/>
  <c r="D145" i="4" s="1"/>
  <c r="F117" i="4"/>
  <c r="F144" i="4" s="1"/>
  <c r="D117" i="4"/>
  <c r="D144" i="4" s="1"/>
  <c r="D116" i="4"/>
  <c r="D143" i="4" s="1"/>
  <c r="D115" i="4"/>
  <c r="D142" i="4" s="1"/>
  <c r="D114" i="4"/>
  <c r="D141" i="4" s="1"/>
  <c r="D113" i="4"/>
  <c r="D140" i="4" s="1"/>
  <c r="D112" i="4"/>
  <c r="D139" i="4" s="1"/>
  <c r="D111" i="4"/>
  <c r="D138" i="4" s="1"/>
  <c r="D110" i="4"/>
  <c r="D137" i="4" s="1"/>
  <c r="D109" i="4"/>
  <c r="D108" i="4"/>
  <c r="D135" i="4" s="1"/>
  <c r="D107" i="4"/>
  <c r="D134" i="4" s="1"/>
  <c r="D106" i="4"/>
  <c r="D133" i="4" s="1"/>
  <c r="F105" i="4"/>
  <c r="F132" i="4" s="1"/>
  <c r="D105" i="4"/>
  <c r="D132" i="4" s="1"/>
  <c r="D104" i="4"/>
  <c r="D131" i="4" s="1"/>
  <c r="D103" i="4"/>
  <c r="D130" i="4" s="1"/>
  <c r="D102" i="4"/>
  <c r="D129" i="4" s="1"/>
  <c r="D101" i="4"/>
  <c r="D128" i="4" s="1"/>
  <c r="D100" i="4"/>
  <c r="D127" i="4" s="1"/>
  <c r="D99" i="4"/>
  <c r="D126" i="4" s="1"/>
  <c r="D98" i="4"/>
  <c r="D125" i="4" s="1"/>
  <c r="H91" i="4"/>
  <c r="F91" i="4"/>
  <c r="F118" i="4" s="1"/>
  <c r="F145" i="4" s="1"/>
  <c r="E91" i="4"/>
  <c r="E118" i="4" s="1"/>
  <c r="E145" i="4" s="1"/>
  <c r="F90" i="4"/>
  <c r="E90" i="4"/>
  <c r="E117" i="4" s="1"/>
  <c r="E144" i="4" s="1"/>
  <c r="F89" i="4"/>
  <c r="F116" i="4" s="1"/>
  <c r="F143" i="4" s="1"/>
  <c r="E89" i="4"/>
  <c r="E116" i="4" s="1"/>
  <c r="E143" i="4" s="1"/>
  <c r="L88" i="4"/>
  <c r="F88" i="4"/>
  <c r="F115" i="4" s="1"/>
  <c r="F142" i="4" s="1"/>
  <c r="E88" i="4"/>
  <c r="E115" i="4" s="1"/>
  <c r="E142" i="4" s="1"/>
  <c r="F87" i="4"/>
  <c r="F114" i="4" s="1"/>
  <c r="F141" i="4" s="1"/>
  <c r="E87" i="4"/>
  <c r="E114" i="4" s="1"/>
  <c r="E141" i="4" s="1"/>
  <c r="F86" i="4"/>
  <c r="F113" i="4" s="1"/>
  <c r="F140" i="4" s="1"/>
  <c r="E86" i="4"/>
  <c r="E113" i="4" s="1"/>
  <c r="E140" i="4" s="1"/>
  <c r="M85" i="4"/>
  <c r="F85" i="4"/>
  <c r="F112" i="4" s="1"/>
  <c r="F139" i="4" s="1"/>
  <c r="E85" i="4"/>
  <c r="E112" i="4" s="1"/>
  <c r="E139" i="4" s="1"/>
  <c r="F84" i="4"/>
  <c r="F111" i="4" s="1"/>
  <c r="F138" i="4" s="1"/>
  <c r="E84" i="4"/>
  <c r="E111" i="4" s="1"/>
  <c r="E138" i="4" s="1"/>
  <c r="F83" i="4"/>
  <c r="F110" i="4" s="1"/>
  <c r="F137" i="4" s="1"/>
  <c r="E83" i="4"/>
  <c r="E110" i="4" s="1"/>
  <c r="E137" i="4" s="1"/>
  <c r="I82" i="4"/>
  <c r="I136" i="4" s="1"/>
  <c r="F82" i="4"/>
  <c r="F109" i="4" s="1"/>
  <c r="F136" i="4" s="1"/>
  <c r="E82" i="4"/>
  <c r="E109" i="4" s="1"/>
  <c r="E136" i="4" s="1"/>
  <c r="F81" i="4"/>
  <c r="F108" i="4" s="1"/>
  <c r="F135" i="4" s="1"/>
  <c r="E81" i="4"/>
  <c r="E108" i="4" s="1"/>
  <c r="E135" i="4" s="1"/>
  <c r="H80" i="4"/>
  <c r="H134" i="4" s="1"/>
  <c r="F80" i="4"/>
  <c r="F107" i="4" s="1"/>
  <c r="F134" i="4" s="1"/>
  <c r="E80" i="4"/>
  <c r="E107" i="4" s="1"/>
  <c r="E134" i="4" s="1"/>
  <c r="F79" i="4"/>
  <c r="F106" i="4" s="1"/>
  <c r="F133" i="4" s="1"/>
  <c r="E79" i="4"/>
  <c r="E106" i="4" s="1"/>
  <c r="E133" i="4" s="1"/>
  <c r="F78" i="4"/>
  <c r="E78" i="4"/>
  <c r="E105" i="4" s="1"/>
  <c r="E132" i="4" s="1"/>
  <c r="M77" i="4"/>
  <c r="M131" i="4" s="1"/>
  <c r="L77" i="4"/>
  <c r="F77" i="4"/>
  <c r="F104" i="4" s="1"/>
  <c r="F131" i="4" s="1"/>
  <c r="E77" i="4"/>
  <c r="E104" i="4" s="1"/>
  <c r="E131" i="4" s="1"/>
  <c r="F76" i="4"/>
  <c r="F103" i="4" s="1"/>
  <c r="F130" i="4" s="1"/>
  <c r="E76" i="4"/>
  <c r="E103" i="4" s="1"/>
  <c r="E130" i="4" s="1"/>
  <c r="F75" i="4"/>
  <c r="F102" i="4" s="1"/>
  <c r="F129" i="4" s="1"/>
  <c r="E75" i="4"/>
  <c r="E102" i="4" s="1"/>
  <c r="E129" i="4" s="1"/>
  <c r="J74" i="4"/>
  <c r="J128" i="4" s="1"/>
  <c r="F74" i="4"/>
  <c r="F101" i="4" s="1"/>
  <c r="F128" i="4" s="1"/>
  <c r="E74" i="4"/>
  <c r="E101" i="4" s="1"/>
  <c r="E128" i="4" s="1"/>
  <c r="F73" i="4"/>
  <c r="F100" i="4" s="1"/>
  <c r="F127" i="4" s="1"/>
  <c r="E73" i="4"/>
  <c r="E100" i="4" s="1"/>
  <c r="E127" i="4" s="1"/>
  <c r="F72" i="4"/>
  <c r="F99" i="4" s="1"/>
  <c r="F126" i="4" s="1"/>
  <c r="E72" i="4"/>
  <c r="E99" i="4" s="1"/>
  <c r="E126" i="4" s="1"/>
  <c r="N71" i="4"/>
  <c r="N98" i="4" s="1"/>
  <c r="M71" i="4"/>
  <c r="M125" i="4" s="1"/>
  <c r="F71" i="4"/>
  <c r="F98" i="4" s="1"/>
  <c r="F125" i="4" s="1"/>
  <c r="E71" i="4"/>
  <c r="E98" i="4" s="1"/>
  <c r="E125" i="4" s="1"/>
  <c r="N84" i="4"/>
  <c r="M84" i="4"/>
  <c r="M138" i="4" s="1"/>
  <c r="L84" i="4"/>
  <c r="K84" i="4"/>
  <c r="K138" i="4" s="1"/>
  <c r="J84" i="4"/>
  <c r="I84" i="4"/>
  <c r="H84" i="4"/>
  <c r="N91" i="4"/>
  <c r="N145" i="4" s="1"/>
  <c r="M91" i="4"/>
  <c r="L91" i="4"/>
  <c r="K91" i="4"/>
  <c r="J91" i="4"/>
  <c r="I91" i="4"/>
  <c r="N90" i="4"/>
  <c r="M90" i="4"/>
  <c r="L90" i="4"/>
  <c r="K90" i="4"/>
  <c r="J90" i="4"/>
  <c r="I90" i="4"/>
  <c r="H90" i="4"/>
  <c r="N89" i="4"/>
  <c r="M89" i="4"/>
  <c r="L89" i="4"/>
  <c r="K89" i="4"/>
  <c r="J89" i="4"/>
  <c r="J143" i="4" s="1"/>
  <c r="I89" i="4"/>
  <c r="H89" i="4"/>
  <c r="N88" i="4"/>
  <c r="M88" i="4"/>
  <c r="K88" i="4"/>
  <c r="J88" i="4"/>
  <c r="I88" i="4"/>
  <c r="H88" i="4"/>
  <c r="N87" i="4"/>
  <c r="M87" i="4"/>
  <c r="L87" i="4"/>
  <c r="K87" i="4"/>
  <c r="J87" i="4"/>
  <c r="I87" i="4"/>
  <c r="H87" i="4"/>
  <c r="N86" i="4"/>
  <c r="M86" i="4"/>
  <c r="L86" i="4"/>
  <c r="K86" i="4"/>
  <c r="J86" i="4"/>
  <c r="I86" i="4"/>
  <c r="H86" i="4"/>
  <c r="N85" i="4"/>
  <c r="L85" i="4"/>
  <c r="K85" i="4"/>
  <c r="J85" i="4"/>
  <c r="I85" i="4"/>
  <c r="I139" i="4" s="1"/>
  <c r="H85" i="4"/>
  <c r="N83" i="4"/>
  <c r="M83" i="4"/>
  <c r="K83" i="4"/>
  <c r="J83" i="4"/>
  <c r="J137" i="4" s="1"/>
  <c r="I83" i="4"/>
  <c r="H83" i="4"/>
  <c r="N82" i="4"/>
  <c r="M82" i="4"/>
  <c r="M136" i="4" s="1"/>
  <c r="K82" i="4"/>
  <c r="J82" i="4"/>
  <c r="H82" i="4"/>
  <c r="N81" i="4"/>
  <c r="M81" i="4"/>
  <c r="L81" i="4"/>
  <c r="L135" i="4" s="1"/>
  <c r="J81" i="4"/>
  <c r="I81" i="4"/>
  <c r="H81" i="4"/>
  <c r="N80" i="4"/>
  <c r="M80" i="4"/>
  <c r="J80" i="4"/>
  <c r="I80" i="4"/>
  <c r="N79" i="4"/>
  <c r="M79" i="4"/>
  <c r="L79" i="4"/>
  <c r="K79" i="4"/>
  <c r="J79" i="4"/>
  <c r="I79" i="4"/>
  <c r="H79" i="4"/>
  <c r="N78" i="4"/>
  <c r="M78" i="4"/>
  <c r="M132" i="4" s="1"/>
  <c r="K78" i="4"/>
  <c r="K132" i="4" s="1"/>
  <c r="J78" i="4"/>
  <c r="I78" i="4"/>
  <c r="H78" i="4"/>
  <c r="N77" i="4"/>
  <c r="K77" i="4"/>
  <c r="J77" i="4"/>
  <c r="J131" i="4" s="1"/>
  <c r="I77" i="4"/>
  <c r="I131" i="4" s="1"/>
  <c r="H77" i="4"/>
  <c r="N76" i="4"/>
  <c r="M76" i="4"/>
  <c r="K76" i="4"/>
  <c r="J76" i="4"/>
  <c r="I76" i="4"/>
  <c r="I130" i="4" s="1"/>
  <c r="H76" i="4"/>
  <c r="N75" i="4"/>
  <c r="M75" i="4"/>
  <c r="M129" i="4" s="1"/>
  <c r="K75" i="4"/>
  <c r="J75" i="4"/>
  <c r="I75" i="4"/>
  <c r="H75" i="4"/>
  <c r="N74" i="4"/>
  <c r="N128" i="4" s="1"/>
  <c r="M74" i="4"/>
  <c r="K74" i="4"/>
  <c r="I74" i="4"/>
  <c r="H74" i="4"/>
  <c r="N73" i="4"/>
  <c r="M73" i="4"/>
  <c r="L73" i="4"/>
  <c r="L127" i="4" s="1"/>
  <c r="K73" i="4"/>
  <c r="J73" i="4"/>
  <c r="I73" i="4"/>
  <c r="H73" i="4"/>
  <c r="N72" i="4"/>
  <c r="M72" i="4"/>
  <c r="L72" i="4"/>
  <c r="K72" i="4"/>
  <c r="J72" i="4"/>
  <c r="I72" i="4"/>
  <c r="H72" i="4"/>
  <c r="K71" i="4"/>
  <c r="J71" i="4"/>
  <c r="I71" i="4"/>
  <c r="H71" i="4"/>
  <c r="H125" i="4" s="1"/>
  <c r="A171" i="1"/>
  <c r="A170" i="1"/>
  <c r="A169" i="1"/>
  <c r="A168" i="1"/>
  <c r="A167" i="1"/>
  <c r="A166" i="1"/>
  <c r="A165" i="1"/>
  <c r="C145" i="1"/>
  <c r="B137" i="1"/>
  <c r="D135" i="1"/>
  <c r="F135" i="1" s="1"/>
  <c r="E126" i="1"/>
  <c r="D124" i="1"/>
  <c r="D125" i="1" s="1"/>
  <c r="E122" i="1"/>
  <c r="D118" i="1"/>
  <c r="B97" i="1"/>
  <c r="D88" i="1"/>
  <c r="D86" i="1"/>
  <c r="B82" i="1"/>
  <c r="B67" i="1"/>
  <c r="E60" i="1"/>
  <c r="C60" i="1"/>
  <c r="B21" i="1"/>
  <c r="D18" i="1"/>
  <c r="D17" i="1"/>
  <c r="C59" i="1" s="1"/>
  <c r="E59" i="1" s="1"/>
  <c r="C25" i="1"/>
  <c r="C23" i="1"/>
  <c r="C86" i="1"/>
  <c r="C87" i="1"/>
  <c r="H25" i="1"/>
  <c r="C24" i="1"/>
  <c r="F24" i="1"/>
  <c r="H24" i="1"/>
  <c r="C88" i="1"/>
  <c r="D24" i="1"/>
  <c r="G25" i="1"/>
  <c r="E23" i="1"/>
  <c r="D23" i="1"/>
  <c r="G23" i="1"/>
  <c r="B25" i="1"/>
  <c r="B24" i="1"/>
  <c r="F23" i="1"/>
  <c r="D25" i="1"/>
  <c r="E24" i="1"/>
  <c r="H23" i="1"/>
  <c r="E25" i="1"/>
  <c r="F25" i="1"/>
  <c r="M105" i="4" l="1"/>
  <c r="D116" i="1"/>
  <c r="M109" i="4"/>
  <c r="I133" i="4"/>
  <c r="I106" i="4"/>
  <c r="I145" i="4"/>
  <c r="I118" i="4"/>
  <c r="I127" i="4"/>
  <c r="I100" i="4"/>
  <c r="I140" i="4"/>
  <c r="I113" i="4"/>
  <c r="J117" i="4"/>
  <c r="J144" i="4"/>
  <c r="K129" i="4"/>
  <c r="K102" i="4"/>
  <c r="L126" i="4"/>
  <c r="L99" i="4"/>
  <c r="N113" i="4"/>
  <c r="N140" i="4"/>
  <c r="L83" i="4"/>
  <c r="K80" i="4"/>
  <c r="J110" i="4"/>
  <c r="L78" i="4"/>
  <c r="L105" i="4" s="1"/>
  <c r="K81" i="4"/>
  <c r="I104" i="4"/>
  <c r="J104" i="4"/>
  <c r="N125" i="4"/>
  <c r="I109" i="4"/>
  <c r="L71" i="4"/>
  <c r="L100" i="4"/>
  <c r="M104" i="4"/>
  <c r="D127" i="1"/>
  <c r="E61" i="1"/>
  <c r="H94" i="1"/>
  <c r="H100" i="1" s="1"/>
  <c r="E95" i="1"/>
  <c r="E101" i="1" s="1"/>
  <c r="E151" i="1"/>
  <c r="G95" i="1"/>
  <c r="G101" i="1" s="1"/>
  <c r="G151" i="1"/>
  <c r="B142" i="1"/>
  <c r="C89" i="1"/>
  <c r="E86" i="1"/>
  <c r="C93" i="1"/>
  <c r="C99" i="1" s="1"/>
  <c r="C71" i="1"/>
  <c r="H151" i="1"/>
  <c r="H95" i="1"/>
  <c r="H101" i="1" s="1"/>
  <c r="D151" i="1"/>
  <c r="D95" i="1"/>
  <c r="D101" i="1" s="1"/>
  <c r="F93" i="1"/>
  <c r="F99" i="1" s="1"/>
  <c r="F71" i="1"/>
  <c r="F94" i="1"/>
  <c r="F100" i="1" s="1"/>
  <c r="G93" i="1"/>
  <c r="G99" i="1" s="1"/>
  <c r="G71" i="1"/>
  <c r="B144" i="1"/>
  <c r="D144" i="1" s="1"/>
  <c r="E88" i="1"/>
  <c r="B94" i="1"/>
  <c r="B100" i="1" s="1"/>
  <c r="C94" i="1"/>
  <c r="C100" i="1" s="1"/>
  <c r="E94" i="1"/>
  <c r="E100" i="1" s="1"/>
  <c r="D94" i="1"/>
  <c r="D100" i="1" s="1"/>
  <c r="D93" i="1"/>
  <c r="D99" i="1" s="1"/>
  <c r="D71" i="1"/>
  <c r="B95" i="1"/>
  <c r="B101" i="1" s="1"/>
  <c r="B151" i="1"/>
  <c r="E87" i="1"/>
  <c r="B143" i="1"/>
  <c r="D143" i="1" s="1"/>
  <c r="E93" i="1"/>
  <c r="E99" i="1" s="1"/>
  <c r="C95" i="1"/>
  <c r="C101" i="1" s="1"/>
  <c r="C151" i="1"/>
  <c r="H93" i="1"/>
  <c r="H99" i="1" s="1"/>
  <c r="H71" i="1"/>
  <c r="F95" i="1"/>
  <c r="F101" i="1" s="1"/>
  <c r="F151" i="1"/>
  <c r="K125" i="4"/>
  <c r="K98" i="4"/>
  <c r="H135" i="4"/>
  <c r="H108" i="4"/>
  <c r="H127" i="4"/>
  <c r="H100" i="4"/>
  <c r="N136" i="4"/>
  <c r="N109" i="4"/>
  <c r="P31" i="4"/>
  <c r="P32" i="4" s="1"/>
  <c r="L76" i="4"/>
  <c r="I105" i="4"/>
  <c r="I132" i="4"/>
  <c r="M133" i="4"/>
  <c r="M106" i="4"/>
  <c r="H137" i="4"/>
  <c r="H110" i="4"/>
  <c r="K112" i="4"/>
  <c r="K139" i="4"/>
  <c r="I141" i="4"/>
  <c r="I114" i="4"/>
  <c r="L143" i="4"/>
  <c r="L116" i="4"/>
  <c r="H129" i="4"/>
  <c r="H102" i="4"/>
  <c r="N133" i="4"/>
  <c r="N106" i="4"/>
  <c r="H142" i="4"/>
  <c r="H115" i="4"/>
  <c r="M116" i="4"/>
  <c r="M143" i="4"/>
  <c r="K145" i="4"/>
  <c r="K118" i="4"/>
  <c r="K100" i="4"/>
  <c r="K127" i="4"/>
  <c r="I129" i="4"/>
  <c r="I102" i="4"/>
  <c r="N103" i="4"/>
  <c r="N130" i="4"/>
  <c r="H99" i="4"/>
  <c r="H126" i="4"/>
  <c r="K137" i="4"/>
  <c r="K110" i="4"/>
  <c r="N139" i="4"/>
  <c r="N112" i="4"/>
  <c r="J142" i="4"/>
  <c r="J115" i="4"/>
  <c r="H117" i="4"/>
  <c r="H144" i="4"/>
  <c r="M118" i="4"/>
  <c r="M145" i="4"/>
  <c r="I99" i="4"/>
  <c r="I126" i="4"/>
  <c r="M100" i="4"/>
  <c r="M127" i="4"/>
  <c r="H136" i="4"/>
  <c r="H109" i="4"/>
  <c r="H128" i="4"/>
  <c r="H101" i="4"/>
  <c r="K131" i="4"/>
  <c r="K104" i="4"/>
  <c r="J140" i="4"/>
  <c r="J113" i="4"/>
  <c r="I138" i="4"/>
  <c r="I111" i="4"/>
  <c r="I128" i="4"/>
  <c r="I101" i="4"/>
  <c r="N102" i="4"/>
  <c r="N129" i="4"/>
  <c r="J136" i="4"/>
  <c r="J109" i="4"/>
  <c r="H130" i="4"/>
  <c r="H103" i="4"/>
  <c r="L113" i="4"/>
  <c r="L140" i="4"/>
  <c r="H143" i="4"/>
  <c r="H116" i="4"/>
  <c r="J125" i="4"/>
  <c r="J98" i="4"/>
  <c r="N126" i="4"/>
  <c r="N99" i="4"/>
  <c r="K128" i="4"/>
  <c r="K101" i="4"/>
  <c r="H139" i="4"/>
  <c r="H112" i="4"/>
  <c r="L138" i="4"/>
  <c r="L111" i="4"/>
  <c r="M128" i="4"/>
  <c r="M101" i="4"/>
  <c r="L132" i="4"/>
  <c r="H140" i="4"/>
  <c r="H113" i="4"/>
  <c r="K103" i="4"/>
  <c r="K130" i="4"/>
  <c r="L106" i="4"/>
  <c r="L133" i="4"/>
  <c r="J112" i="4"/>
  <c r="J139" i="4"/>
  <c r="L125" i="4"/>
  <c r="L98" i="4"/>
  <c r="L80" i="4"/>
  <c r="L82" i="4"/>
  <c r="J135" i="4"/>
  <c r="J108" i="4"/>
  <c r="J118" i="4"/>
  <c r="J145" i="4"/>
  <c r="H98" i="4"/>
  <c r="M130" i="4"/>
  <c r="M103" i="4"/>
  <c r="J105" i="4"/>
  <c r="J132" i="4"/>
  <c r="I137" i="4"/>
  <c r="I110" i="4"/>
  <c r="L112" i="4"/>
  <c r="L139" i="4"/>
  <c r="J141" i="4"/>
  <c r="J114" i="4"/>
  <c r="H131" i="4"/>
  <c r="H104" i="4"/>
  <c r="H133" i="4"/>
  <c r="H106" i="4"/>
  <c r="K140" i="4"/>
  <c r="K113" i="4"/>
  <c r="I144" i="4"/>
  <c r="I117" i="4"/>
  <c r="J129" i="4"/>
  <c r="J102" i="4"/>
  <c r="K141" i="4"/>
  <c r="K114" i="4"/>
  <c r="I115" i="4"/>
  <c r="I142" i="4"/>
  <c r="N143" i="4"/>
  <c r="N116" i="4"/>
  <c r="L118" i="4"/>
  <c r="L145" i="4"/>
  <c r="N100" i="4"/>
  <c r="N127" i="4"/>
  <c r="L75" i="4"/>
  <c r="L142" i="4"/>
  <c r="L115" i="4"/>
  <c r="H107" i="4"/>
  <c r="I134" i="4"/>
  <c r="I107" i="4"/>
  <c r="L141" i="4"/>
  <c r="L114" i="4"/>
  <c r="L131" i="4"/>
  <c r="L104" i="4"/>
  <c r="K106" i="4"/>
  <c r="K133" i="4"/>
  <c r="I108" i="4"/>
  <c r="I135" i="4"/>
  <c r="N142" i="4"/>
  <c r="N115" i="4"/>
  <c r="L144" i="4"/>
  <c r="L117" i="4"/>
  <c r="M98" i="4"/>
  <c r="J101" i="4"/>
  <c r="J99" i="4"/>
  <c r="J126" i="4"/>
  <c r="N108" i="4"/>
  <c r="N135" i="4"/>
  <c r="K142" i="4"/>
  <c r="K115" i="4"/>
  <c r="N132" i="4"/>
  <c r="N105" i="4"/>
  <c r="M135" i="4"/>
  <c r="M108" i="4"/>
  <c r="L137" i="4"/>
  <c r="L110" i="4"/>
  <c r="N101" i="4"/>
  <c r="N137" i="4"/>
  <c r="N110" i="4"/>
  <c r="M142" i="4"/>
  <c r="M115" i="4"/>
  <c r="K117" i="4"/>
  <c r="K144" i="4"/>
  <c r="K99" i="4"/>
  <c r="K126" i="4"/>
  <c r="M137" i="4"/>
  <c r="M110" i="4"/>
  <c r="M139" i="4"/>
  <c r="M112" i="4"/>
  <c r="H141" i="4"/>
  <c r="H114" i="4"/>
  <c r="H145" i="4"/>
  <c r="H118" i="4"/>
  <c r="K111" i="4"/>
  <c r="I125" i="4"/>
  <c r="I98" i="4"/>
  <c r="M126" i="4"/>
  <c r="M99" i="4"/>
  <c r="M134" i="4"/>
  <c r="M107" i="4"/>
  <c r="J111" i="4"/>
  <c r="J138" i="4"/>
  <c r="H105" i="4"/>
  <c r="H132" i="4"/>
  <c r="K116" i="4"/>
  <c r="K143" i="4"/>
  <c r="L108" i="4"/>
  <c r="N107" i="4"/>
  <c r="N134" i="4"/>
  <c r="K109" i="4"/>
  <c r="K136" i="4"/>
  <c r="M117" i="4"/>
  <c r="M144" i="4"/>
  <c r="L74" i="4"/>
  <c r="J130" i="4"/>
  <c r="J103" i="4"/>
  <c r="M141" i="4"/>
  <c r="M114" i="4"/>
  <c r="N131" i="4"/>
  <c r="N104" i="4"/>
  <c r="J106" i="4"/>
  <c r="J133" i="4"/>
  <c r="M140" i="4"/>
  <c r="M113" i="4"/>
  <c r="I116" i="4"/>
  <c r="I143" i="4"/>
  <c r="N144" i="4"/>
  <c r="N117" i="4"/>
  <c r="J134" i="4"/>
  <c r="J107" i="4"/>
  <c r="H111" i="4"/>
  <c r="H138" i="4"/>
  <c r="M102" i="4"/>
  <c r="J100" i="4"/>
  <c r="J127" i="4"/>
  <c r="N138" i="4"/>
  <c r="N111" i="4"/>
  <c r="N114" i="4"/>
  <c r="N141" i="4"/>
  <c r="K105" i="4"/>
  <c r="M111" i="4"/>
  <c r="J116" i="4"/>
  <c r="I103" i="4"/>
  <c r="N118" i="4"/>
  <c r="I112" i="4"/>
  <c r="Y76" i="6"/>
  <c r="AD78" i="6"/>
  <c r="R81" i="6"/>
  <c r="AC81" i="6" s="1"/>
  <c r="T81" i="6"/>
  <c r="AE81" i="6" s="1"/>
  <c r="AA77" i="6"/>
  <c r="G24" i="1"/>
  <c r="B23" i="1"/>
  <c r="K135" i="4" l="1"/>
  <c r="K108" i="4"/>
  <c r="K134" i="4"/>
  <c r="K107" i="4"/>
  <c r="G94" i="1"/>
  <c r="G100" i="1" s="1"/>
  <c r="G102" i="1" s="1"/>
  <c r="B71" i="1"/>
  <c r="B93" i="1"/>
  <c r="B99" i="1" s="1"/>
  <c r="L129" i="4"/>
  <c r="L102" i="4"/>
  <c r="L107" i="4"/>
  <c r="L134" i="4"/>
  <c r="H150" i="1"/>
  <c r="H149" i="1"/>
  <c r="H102" i="1"/>
  <c r="C149" i="1"/>
  <c r="C150" i="1"/>
  <c r="C102" i="1"/>
  <c r="E102" i="1"/>
  <c r="E144" i="1"/>
  <c r="F144" i="1" s="1"/>
  <c r="F145" i="1" s="1"/>
  <c r="E89" i="1"/>
  <c r="E143" i="1"/>
  <c r="H143" i="1" s="1"/>
  <c r="G150" i="1"/>
  <c r="G149" i="1"/>
  <c r="G142" i="1"/>
  <c r="D142" i="1"/>
  <c r="B145" i="1"/>
  <c r="E71" i="1"/>
  <c r="F149" i="1"/>
  <c r="F150" i="1"/>
  <c r="L109" i="4"/>
  <c r="L136" i="4"/>
  <c r="L103" i="4"/>
  <c r="L130" i="4"/>
  <c r="L101" i="4"/>
  <c r="L128" i="4"/>
  <c r="D150" i="1"/>
  <c r="D149" i="1"/>
  <c r="F102" i="1"/>
  <c r="D102" i="1"/>
  <c r="D145" i="1" l="1"/>
  <c r="E142" i="1"/>
  <c r="E145" i="1" s="1"/>
  <c r="H144" i="1"/>
  <c r="F156" i="1"/>
  <c r="H156" i="1"/>
  <c r="E150" i="1"/>
  <c r="E156" i="1" s="1"/>
  <c r="E149" i="1"/>
  <c r="D156" i="1"/>
  <c r="G156" i="1"/>
  <c r="B102" i="1"/>
  <c r="B150" i="1"/>
  <c r="B156" i="1" s="1"/>
  <c r="B149" i="1"/>
  <c r="C156" i="1"/>
  <c r="H142" i="1" l="1"/>
  <c r="B155" i="1" s="1"/>
  <c r="B157" i="1"/>
  <c r="F157" i="1"/>
  <c r="H157" i="1"/>
  <c r="G157" i="1"/>
  <c r="E157" i="1"/>
  <c r="C157" i="1"/>
  <c r="D157" i="1"/>
  <c r="H145" i="1" l="1"/>
  <c r="G155" i="1"/>
  <c r="G158" i="1" s="1"/>
  <c r="G165" i="1" s="1"/>
  <c r="G166" i="1" s="1"/>
  <c r="G167" i="1" s="1"/>
  <c r="G168" i="1" s="1"/>
  <c r="G169" i="1" s="1"/>
  <c r="G170" i="1" s="1"/>
  <c r="G171" i="1" s="1"/>
  <c r="F155" i="1"/>
  <c r="H155" i="1"/>
  <c r="D155" i="1"/>
  <c r="D158" i="1" s="1"/>
  <c r="D165" i="1" s="1"/>
  <c r="C155" i="1"/>
  <c r="E155" i="1"/>
  <c r="E158" i="1" s="1"/>
  <c r="E165" i="1" s="1"/>
  <c r="E166" i="1" s="1"/>
  <c r="E167" i="1" s="1"/>
  <c r="E168" i="1" s="1"/>
  <c r="E169" i="1" s="1"/>
  <c r="E170" i="1" s="1"/>
  <c r="E171" i="1" s="1"/>
  <c r="B158" i="1"/>
  <c r="B165" i="1" s="1"/>
  <c r="B166" i="1" s="1"/>
  <c r="B167" i="1" s="1"/>
  <c r="B168" i="1" s="1"/>
  <c r="B169" i="1" s="1"/>
  <c r="B170" i="1" s="1"/>
  <c r="B171" i="1" s="1"/>
  <c r="D13" i="8" l="1"/>
  <c r="D166" i="1"/>
  <c r="D167" i="1" s="1"/>
  <c r="D168" i="1" s="1"/>
  <c r="D169" i="1" s="1"/>
  <c r="D170" i="1" s="1"/>
  <c r="D171" i="1" s="1"/>
  <c r="H158" i="1"/>
  <c r="H165" i="1" s="1"/>
  <c r="H166" i="1" s="1"/>
  <c r="H167" i="1" s="1"/>
  <c r="H168" i="1" s="1"/>
  <c r="H169" i="1" s="1"/>
  <c r="H170" i="1" s="1"/>
  <c r="H171" i="1" s="1"/>
  <c r="F158" i="1"/>
  <c r="F165" i="1" s="1"/>
  <c r="C158" i="1"/>
  <c r="C165" i="1" s="1"/>
  <c r="C166" i="1" s="1"/>
  <c r="C167" i="1" s="1"/>
  <c r="C168" i="1" s="1"/>
  <c r="C169" i="1" s="1"/>
  <c r="C170" i="1" s="1"/>
  <c r="C171" i="1" s="1"/>
  <c r="D11" i="8" l="1"/>
  <c r="F166" i="1"/>
  <c r="F167" i="1" s="1"/>
  <c r="F168" i="1" s="1"/>
  <c r="F169" i="1" s="1"/>
  <c r="F170" i="1" s="1"/>
  <c r="F171" i="1" s="1"/>
  <c r="B13" i="8"/>
  <c r="D15" i="8" l="1"/>
  <c r="D17" i="8"/>
  <c r="B11" i="8"/>
  <c r="B15" i="8" l="1"/>
  <c r="B17" i="8"/>
</calcChain>
</file>

<file path=xl/comments1.xml><?xml version="1.0" encoding="utf-8"?>
<comments xmlns="http://schemas.openxmlformats.org/spreadsheetml/2006/main">
  <authors>
    <author>Tom Carlson</author>
  </authors>
  <commentList>
    <comment ref="M37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NH3 EF from Pechan "Estimating Ammonia Emissions from Anthropogenic Non-Agricultural Sources" Draft Final Report, April 2004.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non-catalytic woodstove EF.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non-catalytic woodstove EF.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non-catalytic woodstove EF.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non-catalytic woodstove EF.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non-catalytic woodstove EF.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catalytic woodstove EF.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catalytic woodstove EF.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catalytic woodstove EF.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catalytic woodstove EF.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No separate EF data for this pollutant for certified inserts.  Assumed equal to certified catalytic woodstove EF.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H44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From http://www.epa.gov/burnwise/pdfs/EPA_stove_emis_reduct.pdf, converted from kg/tonne to lb/ton.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From http://www.epa.gov/burnwise/pdfs/EPA_stove_emis_reduct.pdf, converted from kg/tonne to lb/ton.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Reflects weighting of spruce and birch EFs from wood-specific OMNI tests based on spruce vs. birch split from Forest Service timber sales data.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2,163 ppm per RGD 8/18/11 email.
This also reflects a rough 76% vs. 24% split in exising use of #2 and #1 distillate, respectively per info from Polar Fuel and Soutdough (PetroStar) in 1/31/12 email from Joan Hardesty to Bob Dulla:
76% x 2566 ppm (#2 S)   +  24% x 896 ppm (#1 S)  =  2,165 ppm S.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896 ppm per RGD 2/13/12 email giving sulfur content in #1 as measured by OMNI Labs.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2,566 ppm per RGD 2/13/12 email giving sulfur content in #2 as measured by OMNI Labs.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2,163 ppm per RGD 8/18/11 email.
This also reflects a rough 76% vs. 24% split in exising use of #2 and #1 distillate, respectively per info from Polar Fuel and Soutdough (PetroStar) in 1/31/12 email from Joan Hardesty to Bob Dulla:
76% x 2566 ppm (#2 S)   +  24% x 896 ppm (#1 S)  =  2,165 ppm S.</t>
        </r>
      </text>
    </comment>
    <comment ref="A5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Portable heater fuel split per 2007 Fairbanks HH survey.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2,163 ppm per RGD 8/18/11 email.
This also reflects a rough 76% vs. 24% split in exising use of #2 and #1 distillate, respectively per info from Polar Fuel and Soutdough (PetroStar) in 1/31/12 email from Joan Hardesty to Bob Dulla:
76% x 2566 ppm (#2 S)   +  24% x 896 ppm (#1 S)  =  2,165 ppm S.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Assumes fuel sulfur content of 2,163 ppm per RGD 8/18/11 email.
This also reflects a rough 76% vs. 24% split in exising use of #2 and #1 distillate, respectively per info from Polar Fuel and Soutdough (PetroStar) in 1/31/12 email from Joan Hardesty to Bob Dulla:
76% x 2566 ppm (#2 S)   +  24% x 896 ppm (#1 S)  =  2,165 ppm S.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Assuming coal sulfur content of 0.3% weight per www.usibelli.com/Coal_data.asp</t>
        </r>
      </text>
    </comment>
  </commentList>
</comments>
</file>

<file path=xl/comments2.xml><?xml version="1.0" encoding="utf-8"?>
<comments xmlns="http://schemas.openxmlformats.org/spreadsheetml/2006/main">
  <authors>
    <author>Tom Carlson</author>
  </authors>
  <commentList>
    <comment ref="AU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V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I4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  <comment ref="AJ4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</commentList>
</comments>
</file>

<file path=xl/comments3.xml><?xml version="1.0" encoding="utf-8"?>
<comments xmlns="http://schemas.openxmlformats.org/spreadsheetml/2006/main">
  <authors>
    <author>Tom Carlson</author>
  </authors>
  <commentList>
    <comment ref="AU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V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I4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  <comment ref="AJ4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</commentList>
</comments>
</file>

<file path=xl/comments4.xml><?xml version="1.0" encoding="utf-8"?>
<comments xmlns="http://schemas.openxmlformats.org/spreadsheetml/2006/main">
  <authors>
    <author>Tom Carlson</author>
  </authors>
  <commentList>
    <comment ref="AQ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R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Presumed constant hourly rates for sources not included in separate episodic files, but entered by facility in original ReleasePoints sheet.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Tom Carlson:</t>
        </r>
        <r>
          <rPr>
            <sz val="9"/>
            <color indexed="81"/>
            <rFont val="Tahoma"/>
            <family val="2"/>
          </rPr>
          <t xml:space="preserve">
Entered manually by best guess matching release/process/stack params to SCCs in WRAP 2002 point source inventory sheet (G3Point2002). </t>
        </r>
      </text>
    </comment>
    <comment ref="AC2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2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29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29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0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0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1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1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2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2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3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3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4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4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5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5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6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39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39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40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40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C41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D41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based on 4/4/11 email from Joan Hardesty.  However, I disregarded the revised coordinates given by Matt Narus of Jacobs in his response to Eielson because his "GeoBase" data, if given in WGS84 lat/long coordinates, still does not properly locate stacks on top of appropriate buildings.  Instead, I picked coordinates from zoomed in Google Earth views of buildings and likely stack locations.</t>
        </r>
      </text>
    </comment>
    <comment ref="AE4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  <comment ref="AF48" authorId="0" shapeId="0">
      <text>
        <r>
          <rPr>
            <b/>
            <sz val="8"/>
            <color indexed="81"/>
            <rFont val="Tahoma"/>
            <family val="2"/>
          </rPr>
          <t>Tom Carlson:</t>
        </r>
        <r>
          <rPr>
            <sz val="8"/>
            <color indexed="81"/>
            <rFont val="Tahoma"/>
            <family val="2"/>
          </rPr>
          <t xml:space="preserve">
Corrected per 4/4/11 email from Joan Hardesty, based on responses from FHR.</t>
        </r>
      </text>
    </comment>
  </commentList>
</comments>
</file>

<file path=xl/sharedStrings.xml><?xml version="1.0" encoding="utf-8"?>
<sst xmlns="http://schemas.openxmlformats.org/spreadsheetml/2006/main" count="2136" uniqueCount="661">
  <si>
    <t>STF Measure 12 (Fuel Control)</t>
  </si>
  <si>
    <t xml:space="preserve">Measure:  </t>
  </si>
  <si>
    <t>Replace Current Space Heating Oil with #1 Oil</t>
  </si>
  <si>
    <t>Starting Calendar Year:</t>
  </si>
  <si>
    <t>Fairbanks Space Heating Oil Characteristics - Baseline</t>
  </si>
  <si>
    <t>Methodology Summary:</t>
  </si>
  <si>
    <t>- Local heating oil used for space heating reflects a blend of #1 and #2 distillate.</t>
  </si>
  <si>
    <r>
      <t xml:space="preserve">- </t>
    </r>
    <r>
      <rPr>
        <i/>
        <u/>
        <sz val="11"/>
        <color theme="1"/>
        <rFont val="Calibri"/>
        <family val="2"/>
        <scheme val="minor"/>
      </rPr>
      <t>Residential</t>
    </r>
    <r>
      <rPr>
        <i/>
        <sz val="11"/>
        <color theme="1"/>
        <rFont val="Calibri"/>
        <family val="2"/>
        <scheme val="minor"/>
      </rPr>
      <t xml:space="preserve"> #1 and #2 split based on responses from 2011-2015 Fairbanks Home Heating (HH) Survey.</t>
    </r>
  </si>
  <si>
    <r>
      <t xml:space="preserve">- </t>
    </r>
    <r>
      <rPr>
        <i/>
        <u/>
        <sz val="11"/>
        <color theme="1"/>
        <rFont val="Calibri"/>
        <family val="2"/>
        <scheme val="minor"/>
      </rPr>
      <t>Commercial</t>
    </r>
    <r>
      <rPr>
        <i/>
        <sz val="11"/>
        <color theme="1"/>
        <rFont val="Calibri"/>
        <family val="2"/>
        <scheme val="minor"/>
      </rPr>
      <t xml:space="preserve"> use assumed to be #1 distillate.</t>
    </r>
  </si>
  <si>
    <t>- Local #1 and #2 fuel sulfur content based on 2012 samples measured by SwRI.</t>
  </si>
  <si>
    <t>- Winter heating fuel use fraction (relative to annual) calculated from 2011-2015 HH Survey.</t>
  </si>
  <si>
    <t>Distillate Blend (%)</t>
  </si>
  <si>
    <t>Sulfur</t>
  </si>
  <si>
    <t>Winter vs. Annual</t>
  </si>
  <si>
    <t>Winter %</t>
  </si>
  <si>
    <t>Sector</t>
  </si>
  <si>
    <t>#1</t>
  </si>
  <si>
    <t>#2</t>
  </si>
  <si>
    <t>(ppm)</t>
  </si>
  <si>
    <t>Heating Fuel Use</t>
  </si>
  <si>
    <t>(Oct-Mar)</t>
  </si>
  <si>
    <t>Residential</t>
  </si>
  <si>
    <t>Heating Oil:</t>
  </si>
  <si>
    <t>Commercial</t>
  </si>
  <si>
    <t>Wood:</t>
  </si>
  <si>
    <t>Fuel Sulfur (ppm)</t>
  </si>
  <si>
    <t>Fuel/Sector</t>
  </si>
  <si>
    <t>VOC</t>
  </si>
  <si>
    <t>NOX</t>
  </si>
  <si>
    <t>SO2</t>
  </si>
  <si>
    <t>PM10-PRI</t>
  </si>
  <si>
    <t>PM25-PRI</t>
  </si>
  <si>
    <t>NH3</t>
  </si>
  <si>
    <t>CO</t>
  </si>
  <si>
    <t>Baseline Resid. Oil Blend</t>
  </si>
  <si>
    <t>Baseline Comm. Oil Blend</t>
  </si>
  <si>
    <t>All Wood Devices</t>
  </si>
  <si>
    <t>Calculation of Ultra Low Sulfur Heating Oil Emission Factors</t>
  </si>
  <si>
    <r>
      <t>- SO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emission factors scaled from baseline heating oil emission factors based on sulfur content.</t>
    </r>
  </si>
  <si>
    <r>
      <t>- PM</t>
    </r>
    <r>
      <rPr>
        <i/>
        <vertAlign val="subscript"/>
        <sz val="11"/>
        <color theme="1"/>
        <rFont val="Calibri"/>
        <family val="2"/>
        <scheme val="minor"/>
      </rPr>
      <t>2.5</t>
    </r>
    <r>
      <rPr>
        <i/>
        <sz val="11"/>
        <color theme="1"/>
        <rFont val="Calibri"/>
        <family val="2"/>
        <scheme val="minor"/>
      </rPr>
      <t xml:space="preserve"> (and PM</t>
    </r>
    <r>
      <rPr>
        <i/>
        <vertAlign val="subscript"/>
        <sz val="11"/>
        <color theme="1"/>
        <rFont val="Calibri"/>
        <family val="2"/>
        <scheme val="minor"/>
      </rPr>
      <t>10</t>
    </r>
    <r>
      <rPr>
        <i/>
        <sz val="11"/>
        <color theme="1"/>
        <rFont val="Calibri"/>
        <family val="2"/>
        <scheme val="minor"/>
      </rPr>
      <t>) factors based on relative differences in emission factors from 2009 Brookhaven Lab study</t>
    </r>
  </si>
  <si>
    <t xml:space="preserve">  (see figure below).</t>
  </si>
  <si>
    <t>- NOx factors estimated as 25% reduction from average of NOx factors for baseline residential and</t>
  </si>
  <si>
    <t xml:space="preserve">  commercial heating oil based on 2002 V. Turk "Factors Affecting Oil Burner NOx Emissions" paper.</t>
  </si>
  <si>
    <t>- Factors for all other pollutants assumed equal to those for baseline residential heating oil.</t>
  </si>
  <si>
    <t>Tested Heating Oil Device PM2.5 Emission Factors (lb/mmBTU) vs. Fuel Sulfur (ppm)</t>
  </si>
  <si>
    <r>
      <rPr>
        <i/>
        <u/>
        <sz val="11"/>
        <color theme="1"/>
        <rFont val="Calibri"/>
        <family val="2"/>
        <scheme val="minor"/>
      </rPr>
      <t>Source</t>
    </r>
    <r>
      <rPr>
        <i/>
        <sz val="11"/>
        <color theme="1"/>
        <rFont val="Calibri"/>
        <family val="2"/>
        <scheme val="minor"/>
      </rPr>
      <t>:  2009 Brookhaven National Laboratory Report (BNL-91286-2009-IR)</t>
    </r>
  </si>
  <si>
    <t>Linear Eqn:  PM2.5 (lb/mmBTU) vs. S (ppm)</t>
  </si>
  <si>
    <t>PM2.5    =</t>
  </si>
  <si>
    <t>x S      +</t>
  </si>
  <si>
    <t>Predicted</t>
  </si>
  <si>
    <t>PM2.5</t>
  </si>
  <si>
    <t>Heating Oil Grade</t>
  </si>
  <si>
    <t>lb/mmBTU</t>
  </si>
  <si>
    <t>Baseline Residential Oil</t>
  </si>
  <si>
    <t>#1 Heating Oil</t>
  </si>
  <si>
    <t>Relative PM Reduction:</t>
  </si>
  <si>
    <t>Energy Content Differences</t>
  </si>
  <si>
    <t>Energy Content #2:</t>
  </si>
  <si>
    <t>BTU/gal</t>
  </si>
  <si>
    <t>https://www.engineeringtoolbox.com/energy-content-d_868.html</t>
  </si>
  <si>
    <t>Energy Content #1:</t>
  </si>
  <si>
    <t>% Difference (#1 vs. #2):</t>
  </si>
  <si>
    <t>#1 Heating Oil Emission Factors (lb/mmBTU)</t>
  </si>
  <si>
    <t>Without Implementation of this Measure</t>
  </si>
  <si>
    <t>- Set baseline nonattainment area heating energy use using average winter modeling episode day.</t>
  </si>
  <si>
    <t>- Scaled average winter day to annual day heating energy use based on 2011-2015 HH Survey data.</t>
  </si>
  <si>
    <t>- Calculate baseline annual emissions by affected fuel/sector using lb/mmBTU emission factors.</t>
  </si>
  <si>
    <t xml:space="preserve">  (Wood heating devices included to later account for price-based demand shift.)</t>
  </si>
  <si>
    <t>Affected Fuel/Sector (mmBTU/day)</t>
  </si>
  <si>
    <t>Wtr/Ann</t>
  </si>
  <si>
    <t>Annual</t>
  </si>
  <si>
    <t>Episodic</t>
  </si>
  <si>
    <t>Use (%)</t>
  </si>
  <si>
    <t>(12 mths)</t>
  </si>
  <si>
    <t>Residential Heating Oil</t>
  </si>
  <si>
    <t>Commercial Heating Oil</t>
  </si>
  <si>
    <t>All Wood Heating Devices</t>
  </si>
  <si>
    <t>TOTALS</t>
  </si>
  <si>
    <t>Space Heating Emission Factors (lb/mmBTU)</t>
  </si>
  <si>
    <t>Residential Oil, Baseline</t>
  </si>
  <si>
    <t>Commercial Oil, Baseline</t>
  </si>
  <si>
    <t>Fuel Type</t>
  </si>
  <si>
    <t>With Implementation of this Measure</t>
  </si>
  <si>
    <r>
      <t>- Use ULS emission factors from 2009 Brookhaven report for PM</t>
    </r>
    <r>
      <rPr>
        <i/>
        <vertAlign val="subscript"/>
        <sz val="11"/>
        <color theme="1"/>
        <rFont val="Calibri"/>
        <family val="2"/>
        <scheme val="minor"/>
      </rPr>
      <t>2.5</t>
    </r>
    <r>
      <rPr>
        <i/>
        <sz val="11"/>
        <color theme="1"/>
        <rFont val="Calibri"/>
        <family val="2"/>
        <scheme val="minor"/>
      </rPr>
      <t xml:space="preserve"> (and scaled SO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).</t>
    </r>
  </si>
  <si>
    <t>- Adjust for decreased oil use from ULS due to eliminated boiler fouling/deposits.</t>
  </si>
  <si>
    <t>- Account for reduced oil demand from increased ULS price (using demand elasticity).</t>
  </si>
  <si>
    <t>- Assume energy from price-reduced oil demand replaced with "same-BTU" wood energy.</t>
  </si>
  <si>
    <t>- Translate "same-BTU" energy to equivalent wood BTUs, accounting for wood/oil efficiency difference.</t>
  </si>
  <si>
    <t>Heating Efficiency Improvement Using ULS Oil</t>
  </si>
  <si>
    <t>Baseline Oil Device Efficiency:</t>
  </si>
  <si>
    <t>Fuel Use Increase from Fouling:</t>
  </si>
  <si>
    <t>per 2015 Brookhaven report (BNL-108353-2015-IR)</t>
  </si>
  <si>
    <t>Fouling Eliminated Fuel Use Decrease:</t>
  </si>
  <si>
    <t>Heating Oil Price Elasticity Impacts on Wood Demand</t>
  </si>
  <si>
    <t>Estimated Oil Demand Price Elasticity:</t>
  </si>
  <si>
    <t>Price Premium for #1 Oil:</t>
  </si>
  <si>
    <t>Base Price:</t>
  </si>
  <si>
    <t>per gallon</t>
  </si>
  <si>
    <t>Relative Price Increase:</t>
  </si>
  <si>
    <t>Decrease in Oil Use:</t>
  </si>
  <si>
    <t>Wood-Oil Cross-Price Elasticity:</t>
  </si>
  <si>
    <t>Increase in Wood Use:</t>
  </si>
  <si>
    <t>Relative Heating Efficiency Between Oil and All Wood Devices</t>
  </si>
  <si>
    <t>(Wood efficiency is usage weighted composite)</t>
  </si>
  <si>
    <t>Efficiency (%)</t>
  </si>
  <si>
    <t>Relative</t>
  </si>
  <si>
    <t>Oil</t>
  </si>
  <si>
    <t>Wood</t>
  </si>
  <si>
    <t>Wood/Oil</t>
  </si>
  <si>
    <t>Devices</t>
  </si>
  <si>
    <t>Factor</t>
  </si>
  <si>
    <t>Winter</t>
  </si>
  <si>
    <t>ULS-</t>
  </si>
  <si>
    <t>After</t>
  </si>
  <si>
    <t>Price</t>
  </si>
  <si>
    <t>Energy</t>
  </si>
  <si>
    <t>Reduced</t>
  </si>
  <si>
    <t>Demand</t>
  </si>
  <si>
    <t>Efficiency</t>
  </si>
  <si>
    <t>Content</t>
  </si>
  <si>
    <t>Baseline</t>
  </si>
  <si>
    <t>Fouling</t>
  </si>
  <si>
    <t>Impact</t>
  </si>
  <si>
    <t>Adj.</t>
  </si>
  <si>
    <t>After ULS</t>
  </si>
  <si>
    <t>Residential Oil, ULS</t>
  </si>
  <si>
    <t>Commercial Oil, ULS</t>
  </si>
  <si>
    <t>Emission Benefits by Calendar Year</t>
  </si>
  <si>
    <t>Implmnt.</t>
  </si>
  <si>
    <t>Calendar Year</t>
  </si>
  <si>
    <t>Year</t>
  </si>
  <si>
    <t>One-time measure, so no accumulation of benefits over time</t>
  </si>
  <si>
    <t>SCC</t>
  </si>
  <si>
    <t>FP</t>
  </si>
  <si>
    <t>Ins-Conv</t>
  </si>
  <si>
    <t>Ins-NonCat</t>
  </si>
  <si>
    <t>Ins-Cat</t>
  </si>
  <si>
    <t>WS-Conv</t>
  </si>
  <si>
    <t>WS-NonCat</t>
  </si>
  <si>
    <t>WS-Cat</t>
  </si>
  <si>
    <t>PS-Exempt</t>
  </si>
  <si>
    <t>PS-EPACert</t>
  </si>
  <si>
    <t>OWBWtd</t>
  </si>
  <si>
    <t>COil-Com</t>
  </si>
  <si>
    <t>NtGas-Res</t>
  </si>
  <si>
    <t>NtGas-Com</t>
  </si>
  <si>
    <t>CoalHt</t>
  </si>
  <si>
    <t>Coal-Com</t>
  </si>
  <si>
    <t>Wood-Com</t>
  </si>
  <si>
    <t>WasteOil</t>
  </si>
  <si>
    <t>-</t>
  </si>
  <si>
    <t>Total</t>
  </si>
  <si>
    <t>Energy Content Assumptions</t>
  </si>
  <si>
    <t>Fuel</t>
  </si>
  <si>
    <t>EC</t>
  </si>
  <si>
    <t>Units</t>
  </si>
  <si>
    <t>Notes</t>
  </si>
  <si>
    <t>Energy Loads for Space Heating from CCHRC</t>
  </si>
  <si>
    <t>AP-42 Wood</t>
  </si>
  <si>
    <t>mmBTU/ton</t>
  </si>
  <si>
    <t>AP-42 residential wood document, c01s10.pdf</t>
  </si>
  <si>
    <t>Residential:</t>
  </si>
  <si>
    <t>BTU/DD-ft2-yr</t>
  </si>
  <si>
    <t>Fairbanks Wood - Oven Dry, 0% Moisture</t>
  </si>
  <si>
    <t>see Moisture sheet</t>
  </si>
  <si>
    <t>Commercial:</t>
  </si>
  <si>
    <t>Monthly</t>
  </si>
  <si>
    <t>Fairbanks Wood - Air Dry, 20% MC (Dry Basis)</t>
  </si>
  <si>
    <t>Month</t>
  </si>
  <si>
    <t>Avg HDD</t>
  </si>
  <si>
    <t>HDD Ratio</t>
  </si>
  <si>
    <t>Fairbanks Wood - Episode Avg Baseline, 36.5% MC (Dry)</t>
  </si>
  <si>
    <t>Fairbanks HDD:</t>
  </si>
  <si>
    <t>HDD/yr (base 65F)</t>
  </si>
  <si>
    <t>Fairbanks Wood - Jan/Feb Baseline, 36.1% MC (Dry)</t>
  </si>
  <si>
    <t>Daily Winter HDD:</t>
  </si>
  <si>
    <t>Fairbanks Wood - Nov Baseline, 36.9% MC (Dry)</t>
  </si>
  <si>
    <t>Daily Summer HDD:</t>
  </si>
  <si>
    <t>Fuel Oil #1</t>
  </si>
  <si>
    <t>CCHRC</t>
  </si>
  <si>
    <t>Reference Average Daily HDD:</t>
  </si>
  <si>
    <t>Fuel Oil #2</t>
  </si>
  <si>
    <t>North American Combustion Handbook (as referenced in http://en.wikipedia.org/wiki/Heating_oil#cite_note-1)</t>
  </si>
  <si>
    <t>Fuel Oil #1/#2 Weighted (76% #2 24% #1)*</t>
  </si>
  <si>
    <t>Fairbanks Community Research Quarterly</t>
  </si>
  <si>
    <t>Reference Daily Energy Loads (BTU/ft2-day)</t>
  </si>
  <si>
    <t>57% Fuel Oil #2 / 43% Kerosene Weighted</t>
  </si>
  <si>
    <t>assumed for portable heaters</t>
  </si>
  <si>
    <t>Summer</t>
  </si>
  <si>
    <t>Kerosene</t>
  </si>
  <si>
    <t>http://www.generatorjoe.net/html/energy.html</t>
  </si>
  <si>
    <t>Propane</t>
  </si>
  <si>
    <t>Natural Gas</t>
  </si>
  <si>
    <t>BTU/ft3</t>
  </si>
  <si>
    <t>http://www.fngas.com/calculate.html</t>
  </si>
  <si>
    <t>Coal</t>
  </si>
  <si>
    <t>Days/Season:</t>
  </si>
  <si>
    <t>Electric</t>
  </si>
  <si>
    <t>BTU/KWH</t>
  </si>
  <si>
    <t>* The EC number is based on a blend of #1 and #2 used under Fairbanks cold temps per this source</t>
  </si>
  <si>
    <t>Number of FNSB Households:</t>
  </si>
  <si>
    <t>(updated from 2010 Census)</t>
  </si>
  <si>
    <t>Wood Density:</t>
  </si>
  <si>
    <t>tons/cord, from Cord_Wood_Weight.xlsx</t>
  </si>
  <si>
    <t>Number of PM Area Households:</t>
  </si>
  <si>
    <t>(estimated from Jan-2012 parcel centroid data)</t>
  </si>
  <si>
    <t>Cost Assumptions</t>
  </si>
  <si>
    <t>Rate</t>
  </si>
  <si>
    <t>Source</t>
  </si>
  <si>
    <t>Commercial Building Heating Splits by Fuel Type</t>
  </si>
  <si>
    <t>cord</t>
  </si>
  <si>
    <t>Fuel Oil:</t>
  </si>
  <si>
    <t>gal</t>
  </si>
  <si>
    <t>Natural Gas:</t>
  </si>
  <si>
    <t>assumed same as fuel oil</t>
  </si>
  <si>
    <t>10^2 ft3</t>
  </si>
  <si>
    <t>KwH</t>
  </si>
  <si>
    <t>Emission Factors -- OMNI Results Where Available (green shaded), OMNI factors based on oven dry (OD) weight, assume AP-42 factors are as well</t>
  </si>
  <si>
    <t>Combustion</t>
  </si>
  <si>
    <t>Emission Factors (lb/mmBTU), EPA Method 5H Except Where Noted</t>
  </si>
  <si>
    <t>Wood-Burning Type</t>
  </si>
  <si>
    <t>Device Name</t>
  </si>
  <si>
    <t>Efficiency Source</t>
  </si>
  <si>
    <t>mg/MJ</t>
  </si>
  <si>
    <t>Emission Factor Source</t>
  </si>
  <si>
    <t>Fireplace, No Insert</t>
  </si>
  <si>
    <t>AP-42, www.epa.gov/ttnchie1/ap42/ch01/related/woodstove.pdf, Table 2.2-1</t>
  </si>
  <si>
    <t>AP-42, Table 1.9-1; for SO2, OMNI fuel S for spruce gave EF identical to AP42</t>
  </si>
  <si>
    <t>Fireplace, With Insert - Non-EPA Certified</t>
  </si>
  <si>
    <t>Assumed equal to uncertified woodstove EFs</t>
  </si>
  <si>
    <t>Fireplace, With Insert - EPA Certified Non-Catalytic</t>
  </si>
  <si>
    <t>AP-42, www.epa.gov/ttnchie1/ap42/ch01/related/woodstoveapp.pdf, Table 3 for PM Efs,</t>
  </si>
  <si>
    <t>Fireplace, With Insert - EPA Certified Catalytic</t>
  </si>
  <si>
    <t>AP-42, www.epa.gov/ttnchie1/ap42/ch01/related/woodstoveapp.pdf, Table 3 for PM Efs</t>
  </si>
  <si>
    <t>Woodstove - Non-EPA Certified</t>
  </si>
  <si>
    <t>AP-42, www.epa.gov/ttnchie1/ap42/ch01/related/woodstove.pdf, Table 2.1-2</t>
  </si>
  <si>
    <t>AP-42, Table 1.10-1 for VOC&amp;SO2; all others use avg of OMNI runs 14 and 15, conventional wood stove, spruce and birch, low firing rate</t>
  </si>
  <si>
    <t>Woodstove - EPA Certified Non-Catalytic</t>
  </si>
  <si>
    <t>AP-42, Table 1.10-1, assumed Phase II (1990 stds) for VOC&amp;SO2; all others use avg of OMNI runs 5&amp;6 for birch&amp;spruce EPA (noncat) woodstove at low firing rate</t>
  </si>
  <si>
    <t>Woodstove - EPA Certified Catalytic</t>
  </si>
  <si>
    <t>same as immediately above, except that the OMNI avgs for PM10 and PM2.5 are scaled by the same ratio of cat to noncat (16.2/14.6) as used by TRC</t>
  </si>
  <si>
    <t>Pellet Stove (Exempt)</t>
  </si>
  <si>
    <t>AP-42, Table 1.10-5</t>
  </si>
  <si>
    <t>AP-42, Table 1.10-1for VOC; all others OMNI run #1, pellet stove, except SO2 which is based on dry pellet S content from OMNI</t>
  </si>
  <si>
    <t>Pellet Stove (EPA Certified)</t>
  </si>
  <si>
    <t>AP-42, www.epa.gov/ttnchie1/ap42/ch01/related/woodstove.pdf, Table 2</t>
  </si>
  <si>
    <t>OWB (Hydronic Heater) - 80/20 Unqual/Phase 2 Wtd</t>
  </si>
  <si>
    <t>EPA/NY per wood_stoves.xls</t>
  </si>
  <si>
    <t>80% / 20% weighting of OWB and OWB-Ph2</t>
  </si>
  <si>
    <t>OWB (Hydronic Heater) - Unqualified</t>
  </si>
  <si>
    <t>OWB</t>
  </si>
  <si>
    <t>EPA/NY per wood_stoves.xls for VOC&amp;SO2; others from avg of OMNI runs 30&amp;32, OWHH, birch&amp;spruce, low firing rate (note - CO is a lower limit, instrument pegged), OMNI's dry S content for spruce gave EF identical to AP42</t>
  </si>
  <si>
    <t>OWB (Hydronic Heater) - Phase 1</t>
  </si>
  <si>
    <t>OWB-Ph1</t>
  </si>
  <si>
    <t>set rates for VOC to those for woodstoves; others from avg of OMNI runs 9 and 11, spruce&amp;birch, EPA qualified OWHH, low firing rate, but for PM and CO scaled by TRC's ratio for phase 1 and 2; SO2 based on OMNI's S content of dry spruce</t>
  </si>
  <si>
    <t>OWB (Hydronic Heater) - Phase 2</t>
  </si>
  <si>
    <t>OWB-Ph2</t>
  </si>
  <si>
    <t>Masonry Heater</t>
  </si>
  <si>
    <t>CCHRC, http://www.cchrc.org/sites/default/files/docs/masonry_heater.pdf</t>
  </si>
  <si>
    <t>EF</t>
  </si>
  <si>
    <t>Emission Factors (lb/mmBTU)</t>
  </si>
  <si>
    <t>Other Heating Types</t>
  </si>
  <si>
    <t>Central Oil (Weighted # 1 &amp; #2), Residential</t>
  </si>
  <si>
    <t>COil-Res</t>
  </si>
  <si>
    <t>EIA</t>
  </si>
  <si>
    <t>Fuel Oil #1&amp;2</t>
  </si>
  <si>
    <t>lb/1000 gal</t>
  </si>
  <si>
    <t>EPA, AP-42 Table 1.3-1 for VOC and (with OMNI fuel S content) for SO2; all others OMNI run#17, SWRI for fuel (lower) heating value, AP-42 for fuel oil density</t>
  </si>
  <si>
    <t>Central Oil (#1 distillate), Residential</t>
  </si>
  <si>
    <t>COil-Res1</t>
  </si>
  <si>
    <t>Central Oil (#2 distillate), Residential</t>
  </si>
  <si>
    <t>COil-Res2</t>
  </si>
  <si>
    <t>Central Oil (Weighted # 1 &amp; #2), Commercial</t>
  </si>
  <si>
    <t>2103004001</t>
  </si>
  <si>
    <t>EPA, AP-42 Table 1.3-1 for Nox; for all others, assume same as above</t>
  </si>
  <si>
    <t>Portable: 43% Kerosene &amp; 57% Fuel Oil</t>
  </si>
  <si>
    <t>Prtbl</t>
  </si>
  <si>
    <t>Kero/FO</t>
  </si>
  <si>
    <t>Emission rates for portable heating devices using kerosene/fuel oil #2 blend assumed equal to central oil (on #2) in absence of actual data; except SO2, NH3 and CO, assumed same as above</t>
  </si>
  <si>
    <t>Direct Vent</t>
  </si>
  <si>
    <t>DVOil</t>
  </si>
  <si>
    <t>Emission rates for DV devices using Heating Oil #1 assumed equal to central oil (on #2) in absence of actual data; except SO2, NH3 and CO assumed same as above</t>
  </si>
  <si>
    <t>Natural Gas - Residential</t>
  </si>
  <si>
    <t>lb/10^6 ft3</t>
  </si>
  <si>
    <t>EPA, AP-42 Tables 1.4-1 &amp; 1.4-2 for all but NH3, EPA/Pechan for NH3</t>
  </si>
  <si>
    <t>Natural Gas - Commercial, small uncontrolled</t>
  </si>
  <si>
    <t>Coal Boiler (bituminous/subbituminous, hand-fed)</t>
  </si>
  <si>
    <t>NY per wood_stoves.xls</t>
  </si>
  <si>
    <t>lb/ton</t>
  </si>
  <si>
    <t>EPA, AP-42:  Table 1.1-19 for VOC and (w. Usibelli S content) SO2; OMNI runs 21, 23, 37&amp;38 for all other, coal stove, wet&amp;dry stoker and lump coal, low firing rate</t>
  </si>
  <si>
    <t>Waste Oil Burning</t>
  </si>
  <si>
    <t>2102012000</t>
  </si>
  <si>
    <t>EPA, AP-42 Table 1.11-1 for VOC; all others OMNI run#18, SWRI for heating value, AP-42 for No. 2 fuel oil density</t>
  </si>
  <si>
    <t>Muni Heat</t>
  </si>
  <si>
    <t>Comparison of Space Heating Fuel/Device Emission Rates on an Equivalent Net Energy Basis -- OMNI Rates Where Available</t>
  </si>
  <si>
    <t>Wood on Oven Dry Basis (0% MC)</t>
  </si>
  <si>
    <t>Net</t>
  </si>
  <si>
    <t>Emission Factors (lb/net mmBTU)</t>
  </si>
  <si>
    <t>Device</t>
  </si>
  <si>
    <t>Gas</t>
  </si>
  <si>
    <t>Wood on "Dry"Basis (20% MC)</t>
  </si>
  <si>
    <t>Comparison of Space Heating Fuel/Device Emission Rates on an Equivalent Net Energy Basis</t>
  </si>
  <si>
    <t>Baseline Wood Moisture Basis (36.5% MC)</t>
  </si>
  <si>
    <t>Summary of Space Heating Emissions and Energy Use by Device Averaged Across Each Modeling Episode</t>
  </si>
  <si>
    <t>BNP1SR, 2021</t>
  </si>
  <si>
    <t>Grid 3 Domain</t>
  </si>
  <si>
    <t>PM Non-Attainment Area</t>
  </si>
  <si>
    <t>Space Heating Emissions (tons/day)</t>
  </si>
  <si>
    <t>Avg Daily</t>
  </si>
  <si>
    <t>Fuel Use</t>
  </si>
  <si>
    <t>Episode</t>
  </si>
  <si>
    <t>Category</t>
  </si>
  <si>
    <t>mmBTU</t>
  </si>
  <si>
    <t>E1</t>
  </si>
  <si>
    <t>tons</t>
  </si>
  <si>
    <t>1000 gal</t>
  </si>
  <si>
    <t>mcf</t>
  </si>
  <si>
    <t>E2</t>
  </si>
  <si>
    <t>PM Non-Attainment Area Emission Factors (lb/mmBTU), Baseline MC</t>
  </si>
  <si>
    <t>Wtd Avg</t>
  </si>
  <si>
    <t>Totals</t>
  </si>
  <si>
    <t>Needed Aggregations for Measure Benefit Calcs</t>
  </si>
  <si>
    <t>Uncertified Wood Heaters (cordwood insert or stove):</t>
  </si>
  <si>
    <t>Phase II Wood Heaters (Cert cordwood insert or stove):</t>
  </si>
  <si>
    <t>Residential Oil Devices (central, DV, portable):</t>
  </si>
  <si>
    <t>Other Residential Fuels:</t>
  </si>
  <si>
    <t>Commercial Oil:</t>
  </si>
  <si>
    <t>All Wood Devices:</t>
  </si>
  <si>
    <t>All Other Devices/Fuels:</t>
  </si>
  <si>
    <t>CheckSum:</t>
  </si>
  <si>
    <t>Affected Fuel/Sector (mmBTU/winter episode day)</t>
  </si>
  <si>
    <t>Net Emission Benefits (tons/winter episode day)</t>
  </si>
  <si>
    <t>Modeling Domain Episodic Emissions (tons/day)</t>
  </si>
  <si>
    <t>Emissions Contribution (%)</t>
  </si>
  <si>
    <t>Emissions Change Relative to 2019 Proj Base (%)</t>
  </si>
  <si>
    <t>Source Sector</t>
  </si>
  <si>
    <t>NOx</t>
  </si>
  <si>
    <t>Point</t>
  </si>
  <si>
    <t>Area, Space Heat, All</t>
  </si>
  <si>
    <t>Area, Space Heat, Wood</t>
  </si>
  <si>
    <t>Area, Space Heat, Oil</t>
  </si>
  <si>
    <t>Area, Space Heat, Coal</t>
  </si>
  <si>
    <t>Area, Space Heat, Other</t>
  </si>
  <si>
    <t>Area, Other</t>
  </si>
  <si>
    <t>On-Road Mobile</t>
  </si>
  <si>
    <t>Non-Road Mobile</t>
  </si>
  <si>
    <t>NA Area Episodic Emissions (tons/day)</t>
  </si>
  <si>
    <t>2019 Control Emissions Breakdown, Non-Attainment Area, PM2.5</t>
  </si>
  <si>
    <t>2019 Control Emissions Breakdown, Non-Attainment Area, NOx</t>
  </si>
  <si>
    <t>2019 Control Emissions Breakdown, Non-Attainment Area, SO2</t>
  </si>
  <si>
    <t>2019 Control Emissions Breakdown, Non-Attainment Area, VOC</t>
  </si>
  <si>
    <t>2019 Control Emissions Breakdown, Non-Attainment Area, NH3</t>
  </si>
  <si>
    <t>CALCULATION OF EMISSION REDUCTION PROGRESS</t>
  </si>
  <si>
    <t>FROM SWITCH TO #1 OIL FOR 5 PERCENT PLAN</t>
  </si>
  <si>
    <t>Percentage Reductions from Baseline:</t>
  </si>
  <si>
    <t>Eqiuvalent Years of Progress:</t>
  </si>
  <si>
    <t>Base Emissions for Tracking 5% Plan Progress:
(2019 Control Inventory, Nonattainment Area)</t>
  </si>
  <si>
    <t>5% Reduction Per Year Targets:</t>
  </si>
  <si>
    <t>Emission Reductions from Switch to #1 Oil, Total:</t>
  </si>
  <si>
    <t>Emissions (tons/episode day)</t>
  </si>
  <si>
    <t>"                              Point Sources:</t>
  </si>
  <si>
    <t>"                             Space Heating:</t>
  </si>
  <si>
    <t>Jan,Feb,Dec</t>
  </si>
  <si>
    <t>Jun-Aug</t>
  </si>
  <si>
    <t>Mar-May</t>
  </si>
  <si>
    <t>Sep-Nov</t>
  </si>
  <si>
    <t>EMISSION UNIT INFO</t>
  </si>
  <si>
    <t>2016 PERIOD INFO</t>
  </si>
  <si>
    <t>RELEASE POINT INFO</t>
  </si>
  <si>
    <t>Fuel/Thruput-Based Emission Factors (lb per thruput units)</t>
  </si>
  <si>
    <t>ANNUAL EMISSIONS (tons/year)</t>
  </si>
  <si>
    <t>FACILITY ID</t>
  </si>
  <si>
    <t>FACILITY NAME</t>
  </si>
  <si>
    <t>EMISSION UNIT ID</t>
  </si>
  <si>
    <t>RELEASE POINT ID</t>
  </si>
  <si>
    <t>FAC EMISSION UNIT ID</t>
  </si>
  <si>
    <t>FAC RELEASE PT ID</t>
  </si>
  <si>
    <t>PROCESS ID</t>
  </si>
  <si>
    <t>FUEL</t>
  </si>
  <si>
    <t>UNIT TYPE</t>
  </si>
  <si>
    <t>MANUFACTURER</t>
  </si>
  <si>
    <t>DESIGN CAP VALUE</t>
  </si>
  <si>
    <t>DESIGN CAP UNITS</t>
  </si>
  <si>
    <t>WINTER THRUPUT PCT</t>
  </si>
  <si>
    <t>SUMMER THRUPUT PCT</t>
  </si>
  <si>
    <t>SPRING THRUPUT PCT</t>
  </si>
  <si>
    <t>FALL THRUPUT PCT</t>
  </si>
  <si>
    <t>THRUPUT NUMERIC VALUE</t>
  </si>
  <si>
    <t>THRUPUT UNITS</t>
  </si>
  <si>
    <t>PERIOD DAYS WEEK</t>
  </si>
  <si>
    <t>PERIOD WEEKS PERIOD</t>
  </si>
  <si>
    <t>PERIOD HOURS DAY</t>
  </si>
  <si>
    <t>PERIOD HOURS PERIOD</t>
  </si>
  <si>
    <t>ASH CONTENT</t>
  </si>
  <si>
    <t>SULFUR CONTENT</t>
  </si>
  <si>
    <t>SULFUR CONTENT H2S</t>
  </si>
  <si>
    <t>HEAT CONTENT</t>
  </si>
  <si>
    <t>MAX HEAT INPUT</t>
  </si>
  <si>
    <t>MAX HEAT OUTPUT</t>
  </si>
  <si>
    <t>HEAT CONVENTION CODE</t>
  </si>
  <si>
    <t>DESCR</t>
  </si>
  <si>
    <t>RELEASE POINT TYPE</t>
  </si>
  <si>
    <t>LATITUDE - WGS84</t>
  </si>
  <si>
    <t>LONGITUDE - WGS84</t>
  </si>
  <si>
    <t>LATITUDE - FLCC/EMEP</t>
  </si>
  <si>
    <t>LONGITUDE - FLCC/EMEP</t>
  </si>
  <si>
    <t>HORIZ COLLECTION METHOD CODE</t>
  </si>
  <si>
    <t>BASE ELEVATION</t>
  </si>
  <si>
    <t>HORIZ ACCURACY</t>
  </si>
  <si>
    <t>COORD DESCR</t>
  </si>
  <si>
    <t>STACK HEIGHT (ft)</t>
  </si>
  <si>
    <t>STACK DIAMETER (ft)</t>
  </si>
  <si>
    <t>STACK DATA SOURCE CODE</t>
  </si>
  <si>
    <t>EXIT GAS TEMP (deg F)</t>
  </si>
  <si>
    <t>EXIT GAS FLOW RATE (acfm)</t>
  </si>
  <si>
    <t>EXIT GAS VELOCITY (fps)</t>
  </si>
  <si>
    <t>HOURLY SO2 (lb/hr)</t>
  </si>
  <si>
    <t>HOURLY PM2.5 (lb/hr)</t>
  </si>
  <si>
    <t>SCC CODE</t>
  </si>
  <si>
    <t>Flint Hills Refinery</t>
  </si>
  <si>
    <t>S</t>
  </si>
  <si>
    <t>LPG</t>
  </si>
  <si>
    <t>Tons</t>
  </si>
  <si>
    <t>GVEA Zehnder Facility</t>
  </si>
  <si>
    <t>P</t>
  </si>
  <si>
    <t>No. 1 Diesel</t>
  </si>
  <si>
    <t>Turbine</t>
  </si>
  <si>
    <t>General Electric</t>
  </si>
  <si>
    <t>MMBTU/HR</t>
  </si>
  <si>
    <t>gallons</t>
  </si>
  <si>
    <t>#1 Distillate</t>
  </si>
  <si>
    <t>No. 2 Diesel</t>
  </si>
  <si>
    <t>#2 Distillate to #1 Distillate</t>
  </si>
  <si>
    <t>Reciprocating IC Engine</t>
  </si>
  <si>
    <t>GVEA North Pole Power Plant</t>
  </si>
  <si>
    <t>1a</t>
  </si>
  <si>
    <t>2a</t>
  </si>
  <si>
    <t>Naphtha</t>
  </si>
  <si>
    <t>Jet A, Naphtha</t>
  </si>
  <si>
    <t>Generac Genset</t>
  </si>
  <si>
    <t>KILOWATTS</t>
  </si>
  <si>
    <t>Jet A/ Naptha</t>
  </si>
  <si>
    <t>Process Heater</t>
  </si>
  <si>
    <t>Bryan Steam</t>
  </si>
  <si>
    <t>Liquified Petroleum Gas (LPG)</t>
  </si>
  <si>
    <t xml:space="preserve"> </t>
  </si>
  <si>
    <t>UA Fairbanks Campus Power Plant</t>
  </si>
  <si>
    <t>MCF</t>
  </si>
  <si>
    <t>Annual Emissions Summed by Facility from Above (tons/year)</t>
  </si>
  <si>
    <t>Scaling Factor 2016 Summed / 2008 Summed</t>
  </si>
  <si>
    <t>2016 Annual Fuel Usage (gallons) by Type Across Both GVEA Facilities</t>
  </si>
  <si>
    <t>Usage (gal)</t>
  </si>
  <si>
    <t>Sulf (ppm)</t>
  </si>
  <si>
    <t xml:space="preserve"> SO2 Reduction % Relative to #2:</t>
  </si>
  <si>
    <t>HAGO</t>
  </si>
  <si>
    <t>2016 Episodic</t>
  </si>
  <si>
    <t>Distillate #2</t>
  </si>
  <si>
    <t>Zehnder</t>
  </si>
  <si>
    <t>Distillate #1</t>
  </si>
  <si>
    <t>North Pole</t>
  </si>
  <si>
    <t>Jet/Naphtha</t>
  </si>
  <si>
    <t>Low S Jet/Naphtha</t>
  </si>
  <si>
    <t>TOTAL</t>
  </si>
  <si>
    <t>Fuel Throughput-Weighted Sulfur:</t>
  </si>
  <si>
    <t>#2 Distillate</t>
  </si>
  <si>
    <t>Calendar</t>
  </si>
  <si>
    <t>Population Growth Factors</t>
  </si>
  <si>
    <t>2013=1.0</t>
  </si>
  <si>
    <t>2015=1.0</t>
  </si>
  <si>
    <t>2016=1.0</t>
  </si>
  <si>
    <t>n/a</t>
  </si>
  <si>
    <t>FAIRBANKS POINT SOURCE EPISODIC EMISSIONS BY FACILITY TYPE AND EMISSION UNIT</t>
  </si>
  <si>
    <t>MODELING EPISODE AVERAGE DAY EMISSIONS (TONS/DAY) - 2013</t>
  </si>
  <si>
    <t>MODELING EPISODE AVERAGE DAY EMISSIONS (TONS/DAY) - 2017</t>
  </si>
  <si>
    <t>MODELING EPISODE AVERAGE DAY EMISSIONS (TONS/DAY) - 2019</t>
  </si>
  <si>
    <t>MODELING EPISODE AVERAGE DAY EMISSIONS (TONS/DAY) - 2021</t>
  </si>
  <si>
    <t>2013 PERIOD INFO</t>
  </si>
  <si>
    <t>&lt;2016 SULFUR CONTENT (ppm)</t>
  </si>
  <si>
    <t>&gt;=2016 SULFUR CONTENT (ppm)</t>
  </si>
  <si>
    <t>HAGO (&lt;2016), Distillate Oil (&gt;=2016)</t>
  </si>
  <si>
    <t>GALLONS</t>
  </si>
  <si>
    <t>3,790 (#2), 970 (#1)</t>
  </si>
  <si>
    <t>diesel (NO.4)- same EF for all turbines diesel and No. 4</t>
  </si>
  <si>
    <t xml:space="preserve">diesel </t>
  </si>
  <si>
    <t>Jet A, Distillate</t>
  </si>
  <si>
    <t>3,790 (#2)</t>
  </si>
  <si>
    <t xml:space="preserve">Jet A </t>
  </si>
  <si>
    <t>Jet A</t>
  </si>
  <si>
    <t>Diesel</t>
  </si>
  <si>
    <t xml:space="preserve">gallons </t>
  </si>
  <si>
    <t>Jet A, Naphtha, Distillate Oil</t>
  </si>
  <si>
    <t>16 (Naphtha)</t>
  </si>
  <si>
    <t>970 (#1)</t>
  </si>
  <si>
    <t>970 (Jet A)</t>
  </si>
  <si>
    <t>Eielson Air Force Base</t>
  </si>
  <si>
    <t>Boiler</t>
  </si>
  <si>
    <t>Springfield</t>
  </si>
  <si>
    <t>LBS STEAM PER HOUR</t>
  </si>
  <si>
    <t>1,600 (est.)</t>
  </si>
  <si>
    <t>CH&amp;PP Main Boiler #1 Stack</t>
  </si>
  <si>
    <t>Vertical</t>
  </si>
  <si>
    <t>CH&amp;PP Main Boiler #2 Stack</t>
  </si>
  <si>
    <t>CH&amp;PP Main Boiler #3 Stack</t>
  </si>
  <si>
    <t>CH&amp;PP Main Boiler #4 Stack</t>
  </si>
  <si>
    <t>Garret Shafer</t>
  </si>
  <si>
    <t>CH&amp;PP Main Boiler #5 Stack</t>
  </si>
  <si>
    <t>CH&amp;PP Main Boiler #6 Stack</t>
  </si>
  <si>
    <t>Distillate Oil (Diesel)</t>
  </si>
  <si>
    <t>MILLION BTU PER HOUR</t>
  </si>
  <si>
    <t>3,800 (est.)</t>
  </si>
  <si>
    <t>Alert Hangar Boiler #1</t>
  </si>
  <si>
    <t>Vertical with Rain Cap</t>
  </si>
  <si>
    <t>O</t>
  </si>
  <si>
    <t>Missile Storage Boiler #1</t>
  </si>
  <si>
    <t>Missile Storage Boiler #2</t>
  </si>
  <si>
    <t>Alert Hangar Boiler #2</t>
  </si>
  <si>
    <t>Wastewater Treatment Boiler #1</t>
  </si>
  <si>
    <t>Wastewater Treatment Boiler #2</t>
  </si>
  <si>
    <t>LPG (Propane)</t>
  </si>
  <si>
    <t>12 (est.)</t>
  </si>
  <si>
    <t>Corrosion Control Heater #1</t>
  </si>
  <si>
    <t>Corrosion Control Heater #2</t>
  </si>
  <si>
    <t>Aurora Energy Chena Power Plant</t>
  </si>
  <si>
    <t>1000 POUNDS</t>
  </si>
  <si>
    <t>Fuel Oil</t>
  </si>
  <si>
    <t>1000 GALLONS</t>
  </si>
  <si>
    <t>EU IDs 5A, 6 and 7 were removed from service in 2012</t>
  </si>
  <si>
    <t>09A</t>
  </si>
  <si>
    <t>POUNDS</t>
  </si>
  <si>
    <t>Doyon Utilities Privatized Fort Wainwright Units</t>
  </si>
  <si>
    <t>1A</t>
  </si>
  <si>
    <t>TONS</t>
  </si>
  <si>
    <t>4A</t>
  </si>
  <si>
    <t>5A</t>
  </si>
  <si>
    <t>6A</t>
  </si>
  <si>
    <t>7A</t>
  </si>
  <si>
    <t>HOUR</t>
  </si>
  <si>
    <t>Pt Source Totals:</t>
  </si>
  <si>
    <t>Popn Scaling Factor 2021 vs. 2016:</t>
  </si>
  <si>
    <t>tons/day episodic in 2016</t>
  </si>
  <si>
    <t>Reduction Shifting to #1:</t>
  </si>
  <si>
    <t>tons/day episodic in 2021</t>
  </si>
  <si>
    <t>71-1</t>
  </si>
  <si>
    <t>Radco Inc.</t>
  </si>
  <si>
    <t>Crude Heater H-241</t>
  </si>
  <si>
    <t>71-2</t>
  </si>
  <si>
    <t>Tulsa Heaters Inc.</t>
  </si>
  <si>
    <t>Crude Heater H-1001</t>
  </si>
  <si>
    <t>71-3</t>
  </si>
  <si>
    <t>71-6</t>
  </si>
  <si>
    <t>HTH HeaTech</t>
  </si>
  <si>
    <t>Steam Generation B-401</t>
  </si>
  <si>
    <t>71-4</t>
  </si>
  <si>
    <t>71-7</t>
  </si>
  <si>
    <t>HTH HeaTech Inc.</t>
  </si>
  <si>
    <t>Steam Generation B-402</t>
  </si>
  <si>
    <t>71-5</t>
  </si>
  <si>
    <t>Glycol Heater H-5005</t>
  </si>
  <si>
    <t>Glycol Heater H-5006</t>
  </si>
  <si>
    <t>71-12</t>
  </si>
  <si>
    <t>Glycol Heater H-5010</t>
  </si>
  <si>
    <t>71-8</t>
  </si>
  <si>
    <t>Radco Process Heaters Inc.</t>
  </si>
  <si>
    <t>Crude Heater H-2001</t>
  </si>
  <si>
    <t>71-9</t>
  </si>
  <si>
    <t>Radco Process Heaters Inc</t>
  </si>
  <si>
    <t>Asphalt Heater H-3700</t>
  </si>
  <si>
    <t>71-10</t>
  </si>
  <si>
    <t>Optimized Process Furnaces Inc.</t>
  </si>
  <si>
    <t>Crude Heater H-8001</t>
  </si>
  <si>
    <t>71-11</t>
  </si>
  <si>
    <t>Unclassified</t>
  </si>
  <si>
    <t/>
  </si>
  <si>
    <t>LSR Vaporizer Heater H-8002</t>
  </si>
  <si>
    <t>71-15</t>
  </si>
  <si>
    <t>71-13</t>
  </si>
  <si>
    <t>Flare</t>
  </si>
  <si>
    <t>Flaregas Corp.</t>
  </si>
  <si>
    <t>109-1</t>
  </si>
  <si>
    <t>Simple-Cycle Combustion Gas Turbine #1 Stack</t>
  </si>
  <si>
    <t>109-2</t>
  </si>
  <si>
    <t>Simple-Cycle Combustion Gas Turbine #2 Stack</t>
  </si>
  <si>
    <t>109-3</t>
  </si>
  <si>
    <t>Diesel Generator #1 Stack</t>
  </si>
  <si>
    <t>Horizontal</t>
  </si>
  <si>
    <t>109-4</t>
  </si>
  <si>
    <t>Diesel Generator #2 Stack</t>
  </si>
  <si>
    <t>110-1</t>
  </si>
  <si>
    <t>110-1a</t>
  </si>
  <si>
    <t>GT #1 Stack (N)</t>
  </si>
  <si>
    <t>110-2</t>
  </si>
  <si>
    <t>110-2a</t>
  </si>
  <si>
    <t>GT #2 Stack (N)</t>
  </si>
  <si>
    <t>110-5</t>
  </si>
  <si>
    <t>GT#3 Stack</t>
  </si>
  <si>
    <t>110-7</t>
  </si>
  <si>
    <t>Energency Generator Stack</t>
  </si>
  <si>
    <t>110-11</t>
  </si>
  <si>
    <t>Building Heater</t>
  </si>
  <si>
    <t>110-12</t>
  </si>
  <si>
    <t>264-1</t>
  </si>
  <si>
    <t>264-2</t>
  </si>
  <si>
    <t>264-3</t>
  </si>
  <si>
    <t>264-4</t>
  </si>
  <si>
    <t>264-5</t>
  </si>
  <si>
    <t>264-6</t>
  </si>
  <si>
    <t>264-9</t>
  </si>
  <si>
    <t>264-10</t>
  </si>
  <si>
    <t>264-11</t>
  </si>
  <si>
    <t>264-91</t>
  </si>
  <si>
    <t>264-92</t>
  </si>
  <si>
    <t>264-93</t>
  </si>
  <si>
    <t>264-94</t>
  </si>
  <si>
    <t>264-95</t>
  </si>
  <si>
    <t>315-7</t>
  </si>
  <si>
    <t>Boiler - Chena 5</t>
  </si>
  <si>
    <t>Riley</t>
  </si>
  <si>
    <t>lb/hr</t>
  </si>
  <si>
    <t>Chena 1-3 and 5 Stack</t>
  </si>
  <si>
    <t>See Note 1</t>
  </si>
  <si>
    <t>316-1</t>
  </si>
  <si>
    <t>Erie City</t>
  </si>
  <si>
    <t>Coal fired boiler #1&amp; #2</t>
  </si>
  <si>
    <t>316-2</t>
  </si>
  <si>
    <t>316-3</t>
  </si>
  <si>
    <t>Zurn</t>
  </si>
  <si>
    <t>Oil fired boiler #3</t>
  </si>
  <si>
    <t>316-4</t>
  </si>
  <si>
    <t>Oil fired boiler #4</t>
  </si>
  <si>
    <t>316-09A</t>
  </si>
  <si>
    <t>Incinerator</t>
  </si>
  <si>
    <t>Therm-Tec</t>
  </si>
  <si>
    <t>BIRD Incinerator</t>
  </si>
  <si>
    <t>Bird Building</t>
  </si>
  <si>
    <t>1121-1</t>
  </si>
  <si>
    <t>1121-1A</t>
  </si>
  <si>
    <t>Wickes Boiler Company</t>
  </si>
  <si>
    <t>Boiler #3</t>
  </si>
  <si>
    <t>1121-2</t>
  </si>
  <si>
    <t>Boiler #4</t>
  </si>
  <si>
    <t>Per Conversation with Joan Hardesty this data is not included</t>
  </si>
  <si>
    <t>1121-3</t>
  </si>
  <si>
    <t>Boiler #5</t>
  </si>
  <si>
    <t>1121-4</t>
  </si>
  <si>
    <t>1121-4A</t>
  </si>
  <si>
    <t>Boiler #6</t>
  </si>
  <si>
    <t>1121-5</t>
  </si>
  <si>
    <t>1121-5A</t>
  </si>
  <si>
    <t>Boiler #7</t>
  </si>
  <si>
    <t>1121-6</t>
  </si>
  <si>
    <t>1121-6A</t>
  </si>
  <si>
    <t>Boiler #8</t>
  </si>
  <si>
    <t>1121-7</t>
  </si>
  <si>
    <t>1121-7A</t>
  </si>
  <si>
    <t>Coal Processing</t>
  </si>
  <si>
    <t>Downward-facing Vent</t>
  </si>
  <si>
    <t>UAF Fuel Oil 2021 SO2 Emissions</t>
  </si>
  <si>
    <t>Switch to #1 (896 ppm)</t>
  </si>
  <si>
    <t>Current #2 (4400 ppm)</t>
  </si>
  <si>
    <t>Reduction from #1 Switch</t>
  </si>
  <si>
    <t>tons/episode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</si>
</sst>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164" formatCode="0.0%"/>
    <numFmt numFmtId="165" formatCode="0.0000"/>
    <numFmt numFmtId="166" formatCode="0.00000"/>
    <numFmt numFmtId="167" formatCode="0.000"/>
    <numFmt numFmtId="168" formatCode="0.0"/>
    <numFmt numFmtId="169" formatCode="&quot;$&quot;#,##0.00"/>
    <numFmt numFmtId="170" formatCode="\+#,##0;\-#,##0"/>
    <numFmt numFmtId="171" formatCode="0.000;[Red]\-0.000"/>
    <numFmt numFmtId="172" formatCode="#,##0.0"/>
    <numFmt numFmtId="173" formatCode="#,##0.000"/>
    <numFmt numFmtId="174" formatCode="&quot;$&quot;#,##0.000_);[Red]\(&quot;$&quot;#,##0.000\)"/>
    <numFmt numFmtId="175" formatCode="\+0%;[Red]\-0%"/>
    <numFmt numFmtId="176" formatCode="0.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0"/>
      <name val="Verdana"/>
      <family val="2"/>
    </font>
    <font>
      <i/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4" fillId="0" borderId="0"/>
  </cellStyleXfs>
  <cellXfs count="27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quotePrefix="1" applyFont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3" fillId="2" borderId="0" xfId="1" applyNumberFormat="1" applyFont="1" applyFill="1"/>
    <xf numFmtId="1" fontId="3" fillId="3" borderId="0" xfId="0" applyNumberFormat="1" applyFont="1" applyFill="1"/>
    <xf numFmtId="0" fontId="0" fillId="0" borderId="0" xfId="0" applyAlignment="1">
      <alignment horizontal="right"/>
    </xf>
    <xf numFmtId="164" fontId="3" fillId="2" borderId="0" xfId="0" applyNumberFormat="1" applyFont="1" applyFill="1"/>
    <xf numFmtId="0" fontId="0" fillId="2" borderId="0" xfId="0" applyFill="1"/>
    <xf numFmtId="0" fontId="0" fillId="0" borderId="0" xfId="0" quotePrefix="1"/>
    <xf numFmtId="164" fontId="0" fillId="0" borderId="0" xfId="1" applyNumberFormat="1" applyFont="1"/>
    <xf numFmtId="0" fontId="8" fillId="0" borderId="0" xfId="0" applyFont="1"/>
    <xf numFmtId="165" fontId="0" fillId="0" borderId="0" xfId="0" applyNumberFormat="1"/>
    <xf numFmtId="0" fontId="7" fillId="0" borderId="0" xfId="0" applyFont="1"/>
    <xf numFmtId="0" fontId="10" fillId="0" borderId="0" xfId="0" applyFont="1"/>
    <xf numFmtId="0" fontId="7" fillId="3" borderId="0" xfId="0" applyFont="1" applyFill="1"/>
    <xf numFmtId="11" fontId="7" fillId="3" borderId="0" xfId="0" applyNumberFormat="1" applyFont="1" applyFill="1"/>
    <xf numFmtId="0" fontId="7" fillId="3" borderId="0" xfId="0" quotePrefix="1" applyFont="1" applyFill="1"/>
    <xf numFmtId="1" fontId="0" fillId="0" borderId="0" xfId="0" applyNumberFormat="1"/>
    <xf numFmtId="166" fontId="0" fillId="0" borderId="0" xfId="0" applyNumberFormat="1"/>
    <xf numFmtId="0" fontId="0" fillId="2" borderId="1" xfId="0" applyFill="1" applyBorder="1"/>
    <xf numFmtId="166" fontId="0" fillId="0" borderId="1" xfId="0" applyNumberFormat="1" applyBorder="1"/>
    <xf numFmtId="164" fontId="3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 applyAlignment="1">
      <alignment horizontal="center"/>
    </xf>
    <xf numFmtId="3" fontId="3" fillId="0" borderId="0" xfId="0" applyNumberFormat="1" applyFont="1"/>
    <xf numFmtId="165" fontId="0" fillId="0" borderId="1" xfId="0" applyNumberFormat="1" applyBorder="1"/>
    <xf numFmtId="167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7" fontId="0" fillId="0" borderId="5" xfId="0" applyNumberFormat="1" applyBorder="1"/>
    <xf numFmtId="167" fontId="0" fillId="3" borderId="5" xfId="0" applyNumberFormat="1" applyFill="1" applyBorder="1"/>
    <xf numFmtId="167" fontId="0" fillId="4" borderId="5" xfId="0" applyNumberFormat="1" applyFill="1" applyBorder="1"/>
    <xf numFmtId="167" fontId="0" fillId="3" borderId="0" xfId="0" applyNumberFormat="1" applyFill="1"/>
    <xf numFmtId="167" fontId="0" fillId="4" borderId="0" xfId="0" applyNumberFormat="1" applyFill="1"/>
    <xf numFmtId="167" fontId="0" fillId="0" borderId="1" xfId="0" applyNumberFormat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7" fontId="3" fillId="0" borderId="0" xfId="0" applyNumberFormat="1" applyFont="1"/>
    <xf numFmtId="167" fontId="3" fillId="3" borderId="0" xfId="0" applyNumberFormat="1" applyFont="1" applyFill="1"/>
    <xf numFmtId="167" fontId="3" fillId="4" borderId="0" xfId="0" applyNumberFormat="1" applyFont="1" applyFill="1"/>
    <xf numFmtId="168" fontId="3" fillId="0" borderId="0" xfId="0" applyNumberFormat="1" applyFont="1"/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right"/>
    </xf>
    <xf numFmtId="2" fontId="0" fillId="0" borderId="0" xfId="0" applyNumberFormat="1"/>
    <xf numFmtId="2" fontId="3" fillId="2" borderId="0" xfId="0" applyNumberFormat="1" applyFont="1" applyFill="1" applyAlignment="1">
      <alignment horizontal="center"/>
    </xf>
    <xf numFmtId="9" fontId="0" fillId="0" borderId="0" xfId="0" applyNumberFormat="1"/>
    <xf numFmtId="169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5" borderId="0" xfId="0" applyFill="1"/>
    <xf numFmtId="170" fontId="0" fillId="0" borderId="0" xfId="0" applyNumberFormat="1"/>
    <xf numFmtId="3" fontId="0" fillId="5" borderId="1" xfId="0" applyNumberFormat="1" applyFill="1" applyBorder="1" applyAlignment="1">
      <alignment horizontal="right"/>
    </xf>
    <xf numFmtId="170" fontId="0" fillId="0" borderId="1" xfId="0" applyNumberForma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1" fontId="0" fillId="0" borderId="0" xfId="0" applyNumberFormat="1"/>
    <xf numFmtId="171" fontId="3" fillId="3" borderId="0" xfId="0" applyNumberFormat="1" applyFont="1" applyFill="1"/>
    <xf numFmtId="171" fontId="3" fillId="4" borderId="0" xfId="0" applyNumberFormat="1" applyFont="1" applyFill="1"/>
    <xf numFmtId="167" fontId="3" fillId="3" borderId="1" xfId="0" applyNumberFormat="1" applyFont="1" applyFill="1" applyBorder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2" fillId="0" borderId="0" xfId="0" applyFont="1"/>
    <xf numFmtId="0" fontId="0" fillId="0" borderId="6" xfId="0" applyBorder="1" applyAlignment="1">
      <alignment horizontal="center"/>
    </xf>
    <xf numFmtId="0" fontId="19" fillId="0" borderId="0" xfId="0" applyFont="1"/>
    <xf numFmtId="172" fontId="16" fillId="8" borderId="0" xfId="0" applyNumberFormat="1" applyFont="1" applyFill="1"/>
    <xf numFmtId="0" fontId="18" fillId="0" borderId="0" xfId="0" applyFont="1" applyAlignment="1">
      <alignment horizontal="right"/>
    </xf>
    <xf numFmtId="0" fontId="18" fillId="8" borderId="0" xfId="0" applyFont="1" applyFill="1" applyAlignment="1">
      <alignment horizontal="right"/>
    </xf>
    <xf numFmtId="0" fontId="18" fillId="0" borderId="0" xfId="0" applyFont="1"/>
    <xf numFmtId="4" fontId="16" fillId="8" borderId="0" xfId="0" applyNumberFormat="1" applyFont="1" applyFill="1"/>
    <xf numFmtId="2" fontId="18" fillId="8" borderId="0" xfId="0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3" fontId="18" fillId="8" borderId="0" xfId="0" applyNumberFormat="1" applyFont="1" applyFill="1"/>
    <xf numFmtId="2" fontId="18" fillId="9" borderId="0" xfId="0" applyNumberFormat="1" applyFont="1" applyFill="1"/>
    <xf numFmtId="167" fontId="18" fillId="10" borderId="0" xfId="0" applyNumberFormat="1" applyFont="1" applyFill="1"/>
    <xf numFmtId="4" fontId="18" fillId="11" borderId="0" xfId="0" applyNumberFormat="1" applyFont="1" applyFill="1"/>
    <xf numFmtId="4" fontId="18" fillId="12" borderId="0" xfId="0" applyNumberFormat="1" applyFont="1" applyFill="1"/>
    <xf numFmtId="3" fontId="16" fillId="8" borderId="0" xfId="0" applyNumberFormat="1" applyFont="1" applyFill="1"/>
    <xf numFmtId="4" fontId="18" fillId="0" borderId="0" xfId="0" applyNumberFormat="1" applyFont="1"/>
    <xf numFmtId="0" fontId="23" fillId="0" borderId="0" xfId="5" applyFont="1" applyAlignment="1" applyProtection="1"/>
    <xf numFmtId="0" fontId="15" fillId="0" borderId="0" xfId="0" applyFont="1"/>
    <xf numFmtId="0" fontId="20" fillId="11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168" fontId="20" fillId="11" borderId="0" xfId="0" applyNumberFormat="1" applyFont="1" applyFill="1"/>
    <xf numFmtId="168" fontId="20" fillId="12" borderId="0" xfId="0" applyNumberFormat="1" applyFont="1" applyFill="1"/>
    <xf numFmtId="168" fontId="0" fillId="0" borderId="0" xfId="0" applyNumberFormat="1"/>
    <xf numFmtId="0" fontId="12" fillId="0" borderId="0" xfId="6" applyFont="1"/>
    <xf numFmtId="0" fontId="20" fillId="0" borderId="0" xfId="0" applyFont="1" applyAlignment="1">
      <alignment horizontal="right"/>
    </xf>
    <xf numFmtId="0" fontId="20" fillId="11" borderId="0" xfId="0" applyFont="1" applyFill="1"/>
    <xf numFmtId="0" fontId="20" fillId="12" borderId="0" xfId="0" applyFont="1" applyFill="1"/>
    <xf numFmtId="0" fontId="8" fillId="0" borderId="0" xfId="6" applyFont="1"/>
    <xf numFmtId="2" fontId="20" fillId="0" borderId="0" xfId="0" applyNumberFormat="1" applyFont="1"/>
    <xf numFmtId="173" fontId="3" fillId="3" borderId="0" xfId="0" applyNumberFormat="1" applyFont="1" applyFill="1"/>
    <xf numFmtId="0" fontId="12" fillId="0" borderId="0" xfId="3" applyFont="1"/>
    <xf numFmtId="0" fontId="0" fillId="0" borderId="6" xfId="0" applyBorder="1"/>
    <xf numFmtId="0" fontId="16" fillId="0" borderId="6" xfId="0" applyFont="1" applyBorder="1" applyAlignment="1">
      <alignment horizontal="center"/>
    </xf>
    <xf numFmtId="6" fontId="16" fillId="8" borderId="0" xfId="0" applyNumberFormat="1" applyFont="1" applyFill="1"/>
    <xf numFmtId="9" fontId="3" fillId="2" borderId="0" xfId="1" applyFont="1" applyFill="1"/>
    <xf numFmtId="8" fontId="16" fillId="8" borderId="0" xfId="0" applyNumberFormat="1" applyFont="1" applyFill="1"/>
    <xf numFmtId="174" fontId="16" fillId="8" borderId="0" xfId="0" applyNumberFormat="1" applyFont="1" applyFill="1"/>
    <xf numFmtId="0" fontId="0" fillId="3" borderId="0" xfId="0" applyFill="1"/>
    <xf numFmtId="9" fontId="16" fillId="5" borderId="0" xfId="1" applyFont="1" applyFill="1" applyAlignment="1">
      <alignment horizontal="center"/>
    </xf>
    <xf numFmtId="167" fontId="8" fillId="0" borderId="0" xfId="0" applyNumberFormat="1" applyFont="1"/>
    <xf numFmtId="167" fontId="0" fillId="7" borderId="0" xfId="0" applyNumberFormat="1" applyFill="1"/>
    <xf numFmtId="167" fontId="2" fillId="7" borderId="0" xfId="0" applyNumberFormat="1" applyFont="1" applyFill="1"/>
    <xf numFmtId="167" fontId="8" fillId="7" borderId="0" xfId="0" applyNumberFormat="1" applyFont="1" applyFill="1"/>
    <xf numFmtId="0" fontId="0" fillId="7" borderId="0" xfId="0" applyFill="1"/>
    <xf numFmtId="167" fontId="0" fillId="7" borderId="0" xfId="0" applyNumberFormat="1" applyFill="1" applyAlignment="1">
      <alignment horizontal="right"/>
    </xf>
    <xf numFmtId="167" fontId="25" fillId="0" borderId="0" xfId="0" applyNumberFormat="1" applyFont="1"/>
    <xf numFmtId="167" fontId="25" fillId="7" borderId="0" xfId="0" applyNumberFormat="1" applyFont="1" applyFill="1"/>
    <xf numFmtId="11" fontId="0" fillId="0" borderId="0" xfId="0" applyNumberFormat="1"/>
    <xf numFmtId="11" fontId="0" fillId="7" borderId="0" xfId="0" applyNumberFormat="1" applyFill="1"/>
    <xf numFmtId="0" fontId="0" fillId="6" borderId="6" xfId="0" applyFill="1" applyBorder="1" applyAlignment="1">
      <alignment horizontal="center"/>
    </xf>
    <xf numFmtId="167" fontId="0" fillId="6" borderId="0" xfId="0" applyNumberFormat="1" applyFill="1"/>
    <xf numFmtId="9" fontId="0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72" fontId="0" fillId="0" borderId="0" xfId="0" applyNumberFormat="1"/>
    <xf numFmtId="172" fontId="0" fillId="0" borderId="1" xfId="0" applyNumberFormat="1" applyBorder="1"/>
    <xf numFmtId="0" fontId="3" fillId="3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7" fontId="3" fillId="6" borderId="0" xfId="0" applyNumberFormat="1" applyFont="1" applyFill="1"/>
    <xf numFmtId="2" fontId="0" fillId="0" borderId="1" xfId="0" applyNumberFormat="1" applyBorder="1"/>
    <xf numFmtId="167" fontId="3" fillId="6" borderId="1" xfId="0" applyNumberFormat="1" applyFont="1" applyFill="1" applyBorder="1"/>
    <xf numFmtId="0" fontId="3" fillId="6" borderId="1" xfId="0" applyFont="1" applyFill="1" applyBorder="1" applyAlignment="1">
      <alignment horizontal="center"/>
    </xf>
    <xf numFmtId="0" fontId="31" fillId="0" borderId="0" xfId="0" applyFont="1"/>
    <xf numFmtId="0" fontId="33" fillId="0" borderId="8" xfId="0" applyFont="1" applyBorder="1"/>
    <xf numFmtId="0" fontId="33" fillId="0" borderId="7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1" fillId="0" borderId="10" xfId="0" applyFont="1" applyBorder="1"/>
    <xf numFmtId="2" fontId="31" fillId="0" borderId="0" xfId="0" applyNumberFormat="1" applyFont="1"/>
    <xf numFmtId="167" fontId="31" fillId="0" borderId="11" xfId="0" applyNumberFormat="1" applyFont="1" applyBorder="1"/>
    <xf numFmtId="164" fontId="31" fillId="0" borderId="0" xfId="1" applyNumberFormat="1" applyFont="1"/>
    <xf numFmtId="164" fontId="31" fillId="0" borderId="0" xfId="0" applyNumberFormat="1" applyFont="1"/>
    <xf numFmtId="164" fontId="31" fillId="0" borderId="11" xfId="0" applyNumberFormat="1" applyFont="1" applyBorder="1"/>
    <xf numFmtId="175" fontId="31" fillId="0" borderId="0" xfId="1" applyNumberFormat="1" applyFont="1"/>
    <xf numFmtId="175" fontId="31" fillId="0" borderId="0" xfId="0" applyNumberFormat="1" applyFont="1"/>
    <xf numFmtId="175" fontId="31" fillId="0" borderId="11" xfId="0" applyNumberFormat="1" applyFont="1" applyBorder="1"/>
    <xf numFmtId="0" fontId="31" fillId="0" borderId="10" xfId="0" applyFont="1" applyBorder="1" applyAlignment="1">
      <alignment horizontal="left" indent="1"/>
    </xf>
    <xf numFmtId="0" fontId="31" fillId="0" borderId="12" xfId="0" applyFont="1" applyBorder="1"/>
    <xf numFmtId="2" fontId="31" fillId="0" borderId="1" xfId="0" applyNumberFormat="1" applyFont="1" applyBorder="1"/>
    <xf numFmtId="167" fontId="31" fillId="0" borderId="13" xfId="0" applyNumberFormat="1" applyFont="1" applyBorder="1"/>
    <xf numFmtId="164" fontId="31" fillId="0" borderId="1" xfId="0" applyNumberFormat="1" applyFont="1" applyBorder="1"/>
    <xf numFmtId="164" fontId="31" fillId="0" borderId="13" xfId="0" applyNumberFormat="1" applyFont="1" applyBorder="1"/>
    <xf numFmtId="175" fontId="31" fillId="0" borderId="1" xfId="0" applyNumberFormat="1" applyFont="1" applyBorder="1"/>
    <xf numFmtId="175" fontId="31" fillId="0" borderId="13" xfId="0" applyNumberFormat="1" applyFont="1" applyBorder="1"/>
    <xf numFmtId="0" fontId="33" fillId="0" borderId="12" xfId="0" applyFont="1" applyBorder="1"/>
    <xf numFmtId="2" fontId="33" fillId="0" borderId="1" xfId="0" applyNumberFormat="1" applyFont="1" applyBorder="1"/>
    <xf numFmtId="167" fontId="33" fillId="0" borderId="13" xfId="0" applyNumberFormat="1" applyFont="1" applyBorder="1"/>
    <xf numFmtId="164" fontId="33" fillId="0" borderId="1" xfId="0" applyNumberFormat="1" applyFont="1" applyBorder="1"/>
    <xf numFmtId="164" fontId="33" fillId="0" borderId="13" xfId="0" applyNumberFormat="1" applyFont="1" applyBorder="1"/>
    <xf numFmtId="175" fontId="33" fillId="0" borderId="1" xfId="0" applyNumberFormat="1" applyFont="1" applyBorder="1"/>
    <xf numFmtId="175" fontId="33" fillId="0" borderId="13" xfId="0" applyNumberFormat="1" applyFont="1" applyBorder="1"/>
    <xf numFmtId="175" fontId="33" fillId="0" borderId="7" xfId="0" applyNumberFormat="1" applyFont="1" applyBorder="1" applyAlignment="1">
      <alignment horizontal="center"/>
    </xf>
    <xf numFmtId="175" fontId="33" fillId="0" borderId="9" xfId="0" applyNumberFormat="1" applyFont="1" applyBorder="1" applyAlignment="1">
      <alignment horizontal="center"/>
    </xf>
    <xf numFmtId="0" fontId="0" fillId="13" borderId="0" xfId="0" applyFill="1"/>
    <xf numFmtId="164" fontId="3" fillId="3" borderId="0" xfId="1" applyNumberFormat="1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2" fontId="0" fillId="0" borderId="0" xfId="0" applyNumberFormat="1" applyAlignment="1">
      <alignment vertical="center"/>
    </xf>
    <xf numFmtId="2" fontId="0" fillId="3" borderId="0" xfId="0" applyNumberFormat="1" applyFill="1"/>
    <xf numFmtId="0" fontId="2" fillId="0" borderId="0" xfId="0" applyFont="1" applyAlignment="1">
      <alignment horizontal="center"/>
    </xf>
    <xf numFmtId="0" fontId="17" fillId="0" borderId="0" xfId="0" applyFont="1"/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1" fillId="0" borderId="6" xfId="2" applyBorder="1" applyAlignment="1">
      <alignment horizontal="center" wrapText="1"/>
    </xf>
    <xf numFmtId="0" fontId="8" fillId="0" borderId="6" xfId="7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2"/>
    <xf numFmtId="0" fontId="3" fillId="3" borderId="0" xfId="0" applyFont="1" applyFill="1"/>
    <xf numFmtId="0" fontId="0" fillId="0" borderId="0" xfId="0" applyAlignment="1">
      <alignment horizontal="left"/>
    </xf>
    <xf numFmtId="176" fontId="0" fillId="0" borderId="0" xfId="0" applyNumberFormat="1"/>
    <xf numFmtId="0" fontId="34" fillId="0" borderId="0" xfId="0" applyFont="1" applyAlignment="1">
      <alignment horizontal="center"/>
    </xf>
    <xf numFmtId="0" fontId="1" fillId="0" borderId="1" xfId="2" applyBorder="1"/>
    <xf numFmtId="0" fontId="2" fillId="0" borderId="1" xfId="0" applyFont="1" applyBorder="1" applyAlignment="1">
      <alignment horizontal="center"/>
    </xf>
    <xf numFmtId="168" fontId="3" fillId="0" borderId="1" xfId="0" applyNumberFormat="1" applyFont="1" applyBorder="1"/>
    <xf numFmtId="3" fontId="3" fillId="3" borderId="1" xfId="0" applyNumberFormat="1" applyFont="1" applyFill="1" applyBorder="1"/>
    <xf numFmtId="0" fontId="0" fillId="0" borderId="1" xfId="0" applyBorder="1" applyAlignment="1">
      <alignment horizontal="left"/>
    </xf>
    <xf numFmtId="176" fontId="0" fillId="0" borderId="1" xfId="0" applyNumberFormat="1" applyBorder="1"/>
    <xf numFmtId="2" fontId="3" fillId="0" borderId="0" xfId="0" applyNumberFormat="1" applyFont="1"/>
    <xf numFmtId="3" fontId="3" fillId="3" borderId="0" xfId="0" applyNumberFormat="1" applyFont="1" applyFill="1"/>
    <xf numFmtId="11" fontId="0" fillId="0" borderId="0" xfId="0" applyNumberFormat="1" applyAlignment="1">
      <alignment horizontal="right"/>
    </xf>
    <xf numFmtId="0" fontId="0" fillId="6" borderId="0" xfId="0" applyFill="1"/>
    <xf numFmtId="165" fontId="2" fillId="6" borderId="0" xfId="0" applyNumberFormat="1" applyFont="1" applyFill="1"/>
    <xf numFmtId="176" fontId="0" fillId="0" borderId="0" xfId="0" applyNumberFormat="1" applyAlignment="1">
      <alignment horizontal="right"/>
    </xf>
    <xf numFmtId="2" fontId="3" fillId="0" borderId="1" xfId="0" applyNumberFormat="1" applyFont="1" applyBorder="1"/>
    <xf numFmtId="0" fontId="2" fillId="0" borderId="1" xfId="0" applyFont="1" applyBorder="1"/>
    <xf numFmtId="176" fontId="0" fillId="0" borderId="1" xfId="0" applyNumberFormat="1" applyBorder="1" applyAlignment="1">
      <alignment horizontal="right"/>
    </xf>
    <xf numFmtId="165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167" fontId="0" fillId="5" borderId="1" xfId="0" applyNumberFormat="1" applyFill="1" applyBorder="1"/>
    <xf numFmtId="11" fontId="0" fillId="5" borderId="1" xfId="0" applyNumberFormat="1" applyFill="1" applyBorder="1" applyAlignment="1">
      <alignment horizontal="right"/>
    </xf>
    <xf numFmtId="0" fontId="0" fillId="0" borderId="7" xfId="0" applyBorder="1"/>
    <xf numFmtId="0" fontId="2" fillId="0" borderId="7" xfId="0" applyFont="1" applyBorder="1"/>
    <xf numFmtId="0" fontId="0" fillId="0" borderId="7" xfId="0" applyBorder="1" applyAlignment="1">
      <alignment horizontal="center"/>
    </xf>
    <xf numFmtId="176" fontId="0" fillId="0" borderId="7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4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2" fontId="0" fillId="6" borderId="0" xfId="0" applyNumberForma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9" fontId="0" fillId="0" borderId="0" xfId="1" applyFont="1"/>
    <xf numFmtId="3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3" fillId="5" borderId="14" xfId="0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167" fontId="31" fillId="0" borderId="1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34" fillId="0" borderId="6" xfId="2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8" fillId="0" borderId="0" xfId="4" applyFont="1" applyAlignment="1">
      <alignment horizontal="center"/>
    </xf>
    <xf numFmtId="0" fontId="1" fillId="0" borderId="0" xfId="2" applyAlignment="1">
      <alignment horizontal="center"/>
    </xf>
    <xf numFmtId="166" fontId="34" fillId="0" borderId="0" xfId="2" applyNumberFormat="1" applyFont="1" applyAlignment="1">
      <alignment horizontal="right"/>
    </xf>
    <xf numFmtId="166" fontId="1" fillId="0" borderId="0" xfId="2" applyNumberFormat="1"/>
    <xf numFmtId="0" fontId="8" fillId="0" borderId="0" xfId="7" applyFont="1"/>
    <xf numFmtId="0" fontId="34" fillId="0" borderId="0" xfId="2" applyFont="1" applyAlignment="1">
      <alignment horizontal="center"/>
    </xf>
    <xf numFmtId="165" fontId="8" fillId="0" borderId="0" xfId="7" applyNumberFormat="1" applyFont="1"/>
    <xf numFmtId="0" fontId="8" fillId="0" borderId="1" xfId="4" applyFont="1" applyBorder="1" applyAlignment="1">
      <alignment horizontal="center"/>
    </xf>
    <xf numFmtId="0" fontId="1" fillId="0" borderId="1" xfId="2" applyBorder="1" applyAlignment="1">
      <alignment horizontal="center"/>
    </xf>
    <xf numFmtId="166" fontId="34" fillId="0" borderId="1" xfId="2" applyNumberFormat="1" applyFont="1" applyBorder="1" applyAlignment="1">
      <alignment horizontal="right"/>
    </xf>
    <xf numFmtId="166" fontId="1" fillId="0" borderId="1" xfId="2" applyNumberFormat="1" applyBorder="1"/>
    <xf numFmtId="165" fontId="8" fillId="0" borderId="1" xfId="7" applyNumberFormat="1" applyFont="1" applyBorder="1"/>
    <xf numFmtId="0" fontId="34" fillId="0" borderId="1" xfId="2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7" fontId="3" fillId="14" borderId="0" xfId="0" applyNumberFormat="1" applyFont="1" applyFill="1"/>
    <xf numFmtId="165" fontId="3" fillId="14" borderId="0" xfId="0" applyNumberFormat="1" applyFont="1" applyFill="1"/>
    <xf numFmtId="168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3" fillId="5" borderId="15" xfId="0" applyFont="1" applyFill="1" applyBorder="1" applyAlignment="1">
      <alignment horizontal="center"/>
    </xf>
  </cellXfs>
  <cellStyles count="8">
    <cellStyle name="Hyperlink 2" xfId="5"/>
    <cellStyle name="Normal" xfId="0" builtinId="0"/>
    <cellStyle name="Normal 2" xfId="6"/>
    <cellStyle name="Normal 2 2" xfId="3"/>
    <cellStyle name="Normal 2 2 2" xfId="2"/>
    <cellStyle name="Normal 2 3" xfId="7"/>
    <cellStyle name="Normal 4" xfId="4"/>
    <cellStyle name="Percent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451341258504606"/>
                  <c:y val="3.5005393743257819E-2"/>
                </c:manualLayout>
              </c:layout>
              <c:numFmt formatCode="0.00E+00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Lit>
              <c:formatCode>General</c:formatCode>
              <c:ptCount val="15"/>
              <c:pt idx="0">
                <c:v>5780</c:v>
              </c:pt>
              <c:pt idx="1">
                <c:v>1570</c:v>
              </c:pt>
              <c:pt idx="2">
                <c:v>332</c:v>
              </c:pt>
              <c:pt idx="3">
                <c:v>11</c:v>
              </c:pt>
              <c:pt idx="4">
                <c:v>5780</c:v>
              </c:pt>
              <c:pt idx="5">
                <c:v>1440</c:v>
              </c:pt>
              <c:pt idx="6">
                <c:v>1440</c:v>
              </c:pt>
              <c:pt idx="7">
                <c:v>450</c:v>
              </c:pt>
              <c:pt idx="8">
                <c:v>11</c:v>
              </c:pt>
              <c:pt idx="9">
                <c:v>1900</c:v>
              </c:pt>
              <c:pt idx="10">
                <c:v>37</c:v>
              </c:pt>
              <c:pt idx="11">
                <c:v>1440</c:v>
              </c:pt>
              <c:pt idx="12">
                <c:v>332</c:v>
              </c:pt>
              <c:pt idx="13">
                <c:v>11</c:v>
              </c:pt>
              <c:pt idx="14">
                <c:v>37</c:v>
              </c:pt>
            </c:numLit>
          </c:xVal>
          <c:yVal>
            <c:numLit>
              <c:formatCode>General</c:formatCode>
              <c:ptCount val="15"/>
              <c:pt idx="0">
                <c:v>1.0999999999999999E-2</c:v>
              </c:pt>
              <c:pt idx="1">
                <c:v>3.0999999999999999E-3</c:v>
              </c:pt>
              <c:pt idx="2">
                <c:v>1.1999999999999999E-3</c:v>
              </c:pt>
              <c:pt idx="3">
                <c:v>5.940095645607853E-5</c:v>
              </c:pt>
              <c:pt idx="4">
                <c:v>1.2E-2</c:v>
              </c:pt>
              <c:pt idx="5">
                <c:v>2.3730741391789888E-3</c:v>
              </c:pt>
              <c:pt idx="6">
                <c:v>5.0000000000000001E-3</c:v>
              </c:pt>
              <c:pt idx="7">
                <c:v>1.1999999999999999E-3</c:v>
              </c:pt>
              <c:pt idx="8">
                <c:v>1.2999999999999999E-3</c:v>
              </c:pt>
              <c:pt idx="9">
                <c:v>5.7000000000000002E-3</c:v>
              </c:pt>
              <c:pt idx="10">
                <c:v>6.9999999999999994E-5</c:v>
              </c:pt>
              <c:pt idx="11">
                <c:v>4.1999999999999997E-3</c:v>
              </c:pt>
              <c:pt idx="12">
                <c:v>1.6000000000000001E-3</c:v>
              </c:pt>
              <c:pt idx="13">
                <c:v>3.0000000000000001E-5</c:v>
              </c:pt>
              <c:pt idx="14">
                <c:v>9.0000000000000006E-5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AC-447C-8593-4F7955A0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75232"/>
        <c:axId val="197376408"/>
      </c:scatterChart>
      <c:valAx>
        <c:axId val="197375232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Fuel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Sulfur (ppm)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76408"/>
        <c:crosses val="autoZero"/>
        <c:crossBetween val="midCat"/>
      </c:valAx>
      <c:valAx>
        <c:axId val="19737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PM2.5 (lb/mmBTU)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7523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0F-4E4D-88AD-AD10F45F05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0F-4E4D-88AD-AD10F45F05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0F-4E4D-88AD-AD10F45F0508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50F-4E4D-88AD-AD10F45F050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50F-4E4D-88AD-AD10F45F0508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50F-4E4D-88AD-AD10F45F0508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0F-4E4D-88AD-AD10F45F0508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150F-4E4D-88AD-AD10F45F0508}"/>
              </c:ext>
            </c:extLst>
          </c:dPt>
          <c:dLbls>
            <c:dLbl>
              <c:idx val="7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50F-4E4D-88AD-AD10F45F05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('2019_cntl'!$A$22,'2019_cntl'!$A$24:$A$30)</c:f>
              <c:strCache>
                <c:ptCount val="8"/>
                <c:pt idx="0">
                  <c:v>Point</c:v>
                </c:pt>
                <c:pt idx="1">
                  <c:v>Area, Space Heat, Wood</c:v>
                </c:pt>
                <c:pt idx="2">
                  <c:v>Area, Space Heat, Oil</c:v>
                </c:pt>
                <c:pt idx="3">
                  <c:v>Area, Space Heat, Coal</c:v>
                </c:pt>
                <c:pt idx="4">
                  <c:v>Area, Space Heat, Other</c:v>
                </c:pt>
                <c:pt idx="5">
                  <c:v>Area, Other</c:v>
                </c:pt>
                <c:pt idx="6">
                  <c:v>On-Road Mobile</c:v>
                </c:pt>
                <c:pt idx="7">
                  <c:v>Non-Road Mobile</c:v>
                </c:pt>
              </c:strCache>
            </c:strRef>
          </c:cat>
          <c:val>
            <c:numRef>
              <c:f>('2019_cntl'!$G$22,'2019_cntl'!$G$24:$G$30)</c:f>
              <c:numCache>
                <c:formatCode>0.0%</c:formatCode>
                <c:ptCount val="8"/>
                <c:pt idx="0">
                  <c:v>0.23394631820335021</c:v>
                </c:pt>
                <c:pt idx="1">
                  <c:v>0.54741021039410542</c:v>
                </c:pt>
                <c:pt idx="2">
                  <c:v>1.8347064910456869E-2</c:v>
                </c:pt>
                <c:pt idx="3">
                  <c:v>2.1376855446128645E-2</c:v>
                </c:pt>
                <c:pt idx="4">
                  <c:v>3.6469700892345462E-3</c:v>
                </c:pt>
                <c:pt idx="5">
                  <c:v>5.7369644865266502E-2</c:v>
                </c:pt>
                <c:pt idx="6">
                  <c:v>3.8912770086188736E-2</c:v>
                </c:pt>
                <c:pt idx="7">
                  <c:v>7.8962112389198244E-2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50F-4E4D-88AD-AD10F45F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9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40-4DFF-9AAB-90DFF5DFF190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40-4DFF-9AAB-90DFF5DFF1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40-4DFF-9AAB-90DFF5DFF190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40-4DFF-9AAB-90DFF5DFF19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40-4DFF-9AAB-90DFF5DFF190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40-4DFF-9AAB-90DFF5DFF190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40-4DFF-9AAB-90DFF5DFF190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CB40-4DFF-9AAB-90DFF5DFF190}"/>
              </c:ext>
            </c:extLst>
          </c:dPt>
          <c:dLbls>
            <c:dLbl>
              <c:idx val="7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B40-4DFF-9AAB-90DFF5DFF1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('2019_cntl'!$A$22,'2019_cntl'!$A$24:$A$30)</c:f>
              <c:strCache>
                <c:ptCount val="8"/>
                <c:pt idx="0">
                  <c:v>Point</c:v>
                </c:pt>
                <c:pt idx="1">
                  <c:v>Area, Space Heat, Wood</c:v>
                </c:pt>
                <c:pt idx="2">
                  <c:v>Area, Space Heat, Oil</c:v>
                </c:pt>
                <c:pt idx="3">
                  <c:v>Area, Space Heat, Coal</c:v>
                </c:pt>
                <c:pt idx="4">
                  <c:v>Area, Space Heat, Other</c:v>
                </c:pt>
                <c:pt idx="5">
                  <c:v>Area, Other</c:v>
                </c:pt>
                <c:pt idx="6">
                  <c:v>On-Road Mobile</c:v>
                </c:pt>
                <c:pt idx="7">
                  <c:v>Non-Road Mobile</c:v>
                </c:pt>
              </c:strCache>
            </c:strRef>
          </c:cat>
          <c:val>
            <c:numRef>
              <c:f>('2019_cntl'!$H$22,'2019_cntl'!$H$24:$H$30)</c:f>
              <c:numCache>
                <c:formatCode>0.0%</c:formatCode>
                <c:ptCount val="8"/>
                <c:pt idx="0">
                  <c:v>0.63649873630253351</c:v>
                </c:pt>
                <c:pt idx="1">
                  <c:v>2.3642489307010829E-2</c:v>
                </c:pt>
                <c:pt idx="2">
                  <c:v>0.10947968909228739</c:v>
                </c:pt>
                <c:pt idx="3">
                  <c:v>3.0944726510695195E-3</c:v>
                </c:pt>
                <c:pt idx="4">
                  <c:v>1.0019627113907883E-2</c:v>
                </c:pt>
                <c:pt idx="5">
                  <c:v>1.4736154094648273E-2</c:v>
                </c:pt>
                <c:pt idx="6">
                  <c:v>0.12781394788870451</c:v>
                </c:pt>
                <c:pt idx="7">
                  <c:v>7.4714883549838088E-2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B40-4DFF-9AAB-90DFF5DF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7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6F-453E-B17E-2674FB0756F1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76F-453E-B17E-2674FB0756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6F-453E-B17E-2674FB0756F1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6F-453E-B17E-2674FB0756F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76F-453E-B17E-2674FB0756F1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6F-453E-B17E-2674FB0756F1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6F-453E-B17E-2674FB0756F1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776F-453E-B17E-2674FB0756F1}"/>
              </c:ext>
            </c:extLst>
          </c:dPt>
          <c:dLbls>
            <c:dLbl>
              <c:idx val="7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76F-453E-B17E-2674FB0756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('2019_cntl'!$A$22,'2019_cntl'!$A$24:$A$30)</c:f>
              <c:strCache>
                <c:ptCount val="8"/>
                <c:pt idx="0">
                  <c:v>Point</c:v>
                </c:pt>
                <c:pt idx="1">
                  <c:v>Area, Space Heat, Wood</c:v>
                </c:pt>
                <c:pt idx="2">
                  <c:v>Area, Space Heat, Oil</c:v>
                </c:pt>
                <c:pt idx="3">
                  <c:v>Area, Space Heat, Coal</c:v>
                </c:pt>
                <c:pt idx="4">
                  <c:v>Area, Space Heat, Other</c:v>
                </c:pt>
                <c:pt idx="5">
                  <c:v>Area, Other</c:v>
                </c:pt>
                <c:pt idx="6">
                  <c:v>On-Road Mobile</c:v>
                </c:pt>
                <c:pt idx="7">
                  <c:v>Non-Road Mobile</c:v>
                </c:pt>
              </c:strCache>
            </c:strRef>
          </c:cat>
          <c:val>
            <c:numRef>
              <c:f>('2019_cntl'!$I$22,'2019_cntl'!$I$24:$I$30)</c:f>
              <c:numCache>
                <c:formatCode>0.0%</c:formatCode>
                <c:ptCount val="8"/>
                <c:pt idx="0">
                  <c:v>0.31859886568834922</c:v>
                </c:pt>
                <c:pt idx="1">
                  <c:v>6.4345069329258837E-3</c:v>
                </c:pt>
                <c:pt idx="2">
                  <c:v>0.16147484516329352</c:v>
                </c:pt>
                <c:pt idx="3">
                  <c:v>4.0796561317787026E-3</c:v>
                </c:pt>
                <c:pt idx="4">
                  <c:v>7.73034513469568E-4</c:v>
                </c:pt>
                <c:pt idx="5">
                  <c:v>7.1941362236185229E-4</c:v>
                </c:pt>
                <c:pt idx="6">
                  <c:v>1.6937818150620594E-3</c:v>
                </c:pt>
                <c:pt idx="7">
                  <c:v>0.50623036454035164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76F-453E-B17E-2674FB0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3D-44FC-8D32-DB0B11D1FF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3D-44FC-8D32-DB0B11D1FF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3D-44FC-8D32-DB0B11D1FFE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3D-44FC-8D32-DB0B11D1FFE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3D-44FC-8D32-DB0B11D1FFEF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3D-44FC-8D32-DB0B11D1FFEF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3D-44FC-8D32-DB0B11D1FFE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F23D-44FC-8D32-DB0B11D1FFEF}"/>
              </c:ext>
            </c:extLst>
          </c:dPt>
          <c:dLbls>
            <c:dLbl>
              <c:idx val="7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23D-44FC-8D32-DB0B11D1FFE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('2019_cntl'!$A$22,'2019_cntl'!$A$24:$A$30)</c:f>
              <c:strCache>
                <c:ptCount val="8"/>
                <c:pt idx="0">
                  <c:v>Point</c:v>
                </c:pt>
                <c:pt idx="1">
                  <c:v>Area, Space Heat, Wood</c:v>
                </c:pt>
                <c:pt idx="2">
                  <c:v>Area, Space Heat, Oil</c:v>
                </c:pt>
                <c:pt idx="3">
                  <c:v>Area, Space Heat, Coal</c:v>
                </c:pt>
                <c:pt idx="4">
                  <c:v>Area, Space Heat, Other</c:v>
                </c:pt>
                <c:pt idx="5">
                  <c:v>Area, Other</c:v>
                </c:pt>
                <c:pt idx="6">
                  <c:v>On-Road Mobile</c:v>
                </c:pt>
                <c:pt idx="7">
                  <c:v>Non-Road Mobile</c:v>
                </c:pt>
              </c:strCache>
            </c:strRef>
          </c:cat>
          <c:val>
            <c:numRef>
              <c:f>('2019_cntl'!$J$22,'2019_cntl'!$J$24:$J$30)</c:f>
              <c:numCache>
                <c:formatCode>0.0%</c:formatCode>
                <c:ptCount val="8"/>
                <c:pt idx="0">
                  <c:v>5.8545346829575367E-3</c:v>
                </c:pt>
                <c:pt idx="1">
                  <c:v>0.56074520841866693</c:v>
                </c:pt>
                <c:pt idx="2">
                  <c:v>6.8185037479045031E-3</c:v>
                </c:pt>
                <c:pt idx="3">
                  <c:v>7.2988680041169533E-3</c:v>
                </c:pt>
                <c:pt idx="4">
                  <c:v>5.6042496558119206E-4</c:v>
                </c:pt>
                <c:pt idx="5">
                  <c:v>0.15655871717057443</c:v>
                </c:pt>
                <c:pt idx="6">
                  <c:v>0.21695041049788441</c:v>
                </c:pt>
                <c:pt idx="7">
                  <c:v>4.5206660786533182E-2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F23D-44FC-8D32-DB0B11D1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3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95-4218-8D70-1248A8C38FBE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95-4218-8D70-1248A8C38F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495-4218-8D70-1248A8C38F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495-4218-8D70-1248A8C38FB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495-4218-8D70-1248A8C38FBE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495-4218-8D70-1248A8C38FBE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495-4218-8D70-1248A8C38FBE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0495-4218-8D70-1248A8C38FBE}"/>
              </c:ext>
            </c:extLst>
          </c:dPt>
          <c:dLbls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495-4218-8D70-1248A8C38F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('2019_cntl'!$A$22,'2019_cntl'!$A$24:$A$30)</c:f>
              <c:strCache>
                <c:ptCount val="8"/>
                <c:pt idx="0">
                  <c:v>Point</c:v>
                </c:pt>
                <c:pt idx="1">
                  <c:v>Area, Space Heat, Wood</c:v>
                </c:pt>
                <c:pt idx="2">
                  <c:v>Area, Space Heat, Oil</c:v>
                </c:pt>
                <c:pt idx="3">
                  <c:v>Area, Space Heat, Coal</c:v>
                </c:pt>
                <c:pt idx="4">
                  <c:v>Area, Space Heat, Other</c:v>
                </c:pt>
                <c:pt idx="5">
                  <c:v>Area, Other</c:v>
                </c:pt>
                <c:pt idx="6">
                  <c:v>On-Road Mobile</c:v>
                </c:pt>
                <c:pt idx="7">
                  <c:v>Non-Road Mobile</c:v>
                </c:pt>
              </c:strCache>
            </c:strRef>
          </c:cat>
          <c:val>
            <c:numRef>
              <c:f>('2019_cntl'!$K$22,'2019_cntl'!$K$24:$K$30)</c:f>
              <c:numCache>
                <c:formatCode>0.0%</c:formatCode>
                <c:ptCount val="8"/>
                <c:pt idx="0">
                  <c:v>7.9244979735237822E-2</c:v>
                </c:pt>
                <c:pt idx="1">
                  <c:v>0.34559169661411993</c:v>
                </c:pt>
                <c:pt idx="2">
                  <c:v>1.4064778350574649E-2</c:v>
                </c:pt>
                <c:pt idx="3">
                  <c:v>5.5455411782265755E-2</c:v>
                </c:pt>
                <c:pt idx="4">
                  <c:v>0.11613488409474496</c:v>
                </c:pt>
                <c:pt idx="5">
                  <c:v>0.19529949366797938</c:v>
                </c:pt>
                <c:pt idx="6">
                  <c:v>0.19340505413504469</c:v>
                </c:pt>
                <c:pt idx="7">
                  <c:v>4.0185081001641856E-4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0495-4218-8D70-1248A8C38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009910899117"/>
          <c:y val="3.6248629953991696E-2"/>
          <c:w val="0.81215339705993284"/>
          <c:h val="0.460826848778934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B8-41C9-A247-E38E1A90A72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B8-41C9-A247-E38E1A90A72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B8-41C9-A247-E38E1A90A72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B8-41C9-A247-E38E1A90A72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B8-41C9-A247-E38E1A90A72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B8-41C9-A247-E38E1A90A72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B8-41C9-A247-E38E1A90A72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B8-41C9-A247-E38E1A90A728}"/>
              </c:ext>
            </c:extLst>
          </c:dPt>
          <c:dLbls>
            <c:dLbl>
              <c:idx val="14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5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6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7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8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9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0"/>
              <c:numFmt formatCode="0.0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8B8-41C9-A247-E38E1A90A72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numFmt formatCode="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'EFs-BTU'!$E$125:$E$145</c:f>
              <c:strCache>
                <c:ptCount val="21"/>
                <c:pt idx="0">
                  <c:v>Fireplace, No Insert</c:v>
                </c:pt>
                <c:pt idx="1">
                  <c:v>Fireplace, With Insert - Non-EPA Certified</c:v>
                </c:pt>
                <c:pt idx="2">
                  <c:v>Fireplace, With Insert - EPA Certified Non-Catalytic</c:v>
                </c:pt>
                <c:pt idx="3">
                  <c:v>Fireplace, With Insert - EPA Certified Catalytic</c:v>
                </c:pt>
                <c:pt idx="4">
                  <c:v>Woodstove - Non-EPA Certified</c:v>
                </c:pt>
                <c:pt idx="5">
                  <c:v>Woodstove - EPA Certified Non-Catalytic</c:v>
                </c:pt>
                <c:pt idx="6">
                  <c:v>Woodstove - EPA Certified Catalytic</c:v>
                </c:pt>
                <c:pt idx="7">
                  <c:v>Pellet Stove (Exempt)</c:v>
                </c:pt>
                <c:pt idx="8">
                  <c:v>Pellet Stove (EPA Certified)</c:v>
                </c:pt>
                <c:pt idx="9">
                  <c:v>OWB (Hydronic Heater) - 80/20 Unqual/Phase 2 Wtd</c:v>
                </c:pt>
                <c:pt idx="10">
                  <c:v>OWB (Hydronic Heater) - Unqualified</c:v>
                </c:pt>
                <c:pt idx="11">
                  <c:v>OWB (Hydronic Heater) - Phase 1</c:v>
                </c:pt>
                <c:pt idx="12">
                  <c:v>OWB (Hydronic Heater) - Phase 2</c:v>
                </c:pt>
                <c:pt idx="13">
                  <c:v>Coal Boiler (bituminous/subbituminous, hand-fed)</c:v>
                </c:pt>
                <c:pt idx="14">
                  <c:v>Central Oil (Weighted # 1 &amp; #2), Residential</c:v>
                </c:pt>
                <c:pt idx="15">
                  <c:v>Central Oil (#1 distillate), Residential</c:v>
                </c:pt>
                <c:pt idx="16">
                  <c:v>Central Oil (#2 distillate), Residential</c:v>
                </c:pt>
                <c:pt idx="17">
                  <c:v>Portable: 43% Kerosene &amp; 57% Fuel Oil</c:v>
                </c:pt>
                <c:pt idx="18">
                  <c:v>Direct Vent</c:v>
                </c:pt>
                <c:pt idx="19">
                  <c:v>Natural Gas - Residential</c:v>
                </c:pt>
                <c:pt idx="20">
                  <c:v>Natural Gas - Commercial, small uncontrolled</c:v>
                </c:pt>
              </c:strCache>
            </c:strRef>
          </c:cat>
          <c:val>
            <c:numRef>
              <c:f>'EFs-BTU'!$L$125:$L$145</c:f>
              <c:numCache>
                <c:formatCode>0.000</c:formatCode>
                <c:ptCount val="21"/>
                <c:pt idx="0">
                  <c:v>38.993754256603495</c:v>
                </c:pt>
                <c:pt idx="1">
                  <c:v>6.0350160128355999</c:v>
                </c:pt>
                <c:pt idx="2">
                  <c:v>1.4343472401272961</c:v>
                </c:pt>
                <c:pt idx="3">
                  <c:v>1.4650832524157382</c:v>
                </c:pt>
                <c:pt idx="4">
                  <c:v>1.7738402752129308</c:v>
                </c:pt>
                <c:pt idx="5">
                  <c:v>0.9194205661868422</c:v>
                </c:pt>
                <c:pt idx="6">
                  <c:v>0.33948070543707348</c:v>
                </c:pt>
                <c:pt idx="7">
                  <c:v>0.43647519270480867</c:v>
                </c:pt>
                <c:pt idx="8">
                  <c:v>0.31336680501883707</c:v>
                </c:pt>
                <c:pt idx="9">
                  <c:v>1.8108078993079173</c:v>
                </c:pt>
                <c:pt idx="10">
                  <c:v>2.0265307979039182</c:v>
                </c:pt>
                <c:pt idx="11">
                  <c:v>1.7856097836938829</c:v>
                </c:pt>
                <c:pt idx="12">
                  <c:v>0.94791630492391299</c:v>
                </c:pt>
                <c:pt idx="13">
                  <c:v>1.2224602203182375</c:v>
                </c:pt>
                <c:pt idx="14">
                  <c:v>4.1755564665695638E-3</c:v>
                </c:pt>
                <c:pt idx="15">
                  <c:v>4.5096009838951293E-3</c:v>
                </c:pt>
                <c:pt idx="16">
                  <c:v>4.0700369890750258E-3</c:v>
                </c:pt>
                <c:pt idx="17">
                  <c:v>3.6047093725597805E-3</c:v>
                </c:pt>
                <c:pt idx="18">
                  <c:v>4.5096009838951293E-3</c:v>
                </c:pt>
                <c:pt idx="19">
                  <c:v>9.2440552210667146E-3</c:v>
                </c:pt>
                <c:pt idx="20">
                  <c:v>9.2440552210667146E-3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8B8-41C9-A247-E38E1A90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88728"/>
        <c:axId val="106889120"/>
      </c:barChart>
      <c:catAx>
        <c:axId val="10688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89120"/>
        <c:crosses val="autoZero"/>
        <c:auto val="1"/>
        <c:lblAlgn val="ctr"/>
        <c:lblOffset val="100"/>
        <c:noMultiLvlLbl val="0"/>
      </c:catAx>
      <c:valAx>
        <c:axId val="1068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</a:t>
                </a:r>
                <a:r>
                  <a:rPr lang="en-US" baseline="0"/>
                  <a:t> (lb/heating mmBTU)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887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37</xdr:row>
      <xdr:rowOff>17145</xdr:rowOff>
    </xdr:from>
    <xdr:to>
      <xdr:col>6</xdr:col>
      <xdr:colOff>361950</xdr:colOff>
      <xdr:row>49</xdr:row>
      <xdr:rowOff>177165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DB4ACD7-443A-44F3-845C-AC6020510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20</xdr:row>
      <xdr:rowOff>22860</xdr:rowOff>
    </xdr:from>
    <xdr:to>
      <xdr:col>24</xdr:col>
      <xdr:colOff>457200</xdr:colOff>
      <xdr:row>34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3C49932-C317-4B82-BE7A-5CD8C194A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152400</xdr:colOff>
      <xdr:row>20</xdr:row>
      <xdr:rowOff>22860</xdr:rowOff>
    </xdr:from>
    <xdr:to>
      <xdr:col>32</xdr:col>
      <xdr:colOff>457200</xdr:colOff>
      <xdr:row>34</xdr:row>
      <xdr:rowOff>99060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xmlns="" id="{EC814568-0AA8-4007-91C2-704C5DD28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152400</xdr:colOff>
      <xdr:row>20</xdr:row>
      <xdr:rowOff>22860</xdr:rowOff>
    </xdr:from>
    <xdr:to>
      <xdr:col>40</xdr:col>
      <xdr:colOff>457200</xdr:colOff>
      <xdr:row>34</xdr:row>
      <xdr:rowOff>99060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xmlns="" id="{4DC412B9-DCFF-47FD-B3AA-BBCE48A5C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152400</xdr:colOff>
      <xdr:row>20</xdr:row>
      <xdr:rowOff>22860</xdr:rowOff>
    </xdr:from>
    <xdr:to>
      <xdr:col>48</xdr:col>
      <xdr:colOff>457200</xdr:colOff>
      <xdr:row>34</xdr:row>
      <xdr:rowOff>99060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xmlns="" id="{22D638E7-2587-437A-8FB8-D129C7C00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152400</xdr:colOff>
      <xdr:row>20</xdr:row>
      <xdr:rowOff>22860</xdr:rowOff>
    </xdr:from>
    <xdr:to>
      <xdr:col>56</xdr:col>
      <xdr:colOff>457200</xdr:colOff>
      <xdr:row>34</xdr:row>
      <xdr:rowOff>99060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xmlns="" id="{823F02F3-6402-4BE3-871C-2932B9EA4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56931</xdr:colOff>
      <xdr:row>123</xdr:row>
      <xdr:rowOff>188686</xdr:rowOff>
    </xdr:from>
    <xdr:to>
      <xdr:col>14</xdr:col>
      <xdr:colOff>6393793</xdr:colOff>
      <xdr:row>144</xdr:row>
      <xdr:rowOff>135758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FE86898-C059-4700-B3E8-D88F58203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fngas.com/calculate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fngas.com/calculate.html" TargetMode="External"/><Relationship Id="rId1" Type="http://schemas.openxmlformats.org/officeDocument/2006/relationships/hyperlink" Target="http://www.generatorjoe.net/html/energy.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fngas.com/calculate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G17"/>
  <sheetViews>
    <sheetView tabSelected="1" workbookViewId="0">
      <selection sqref="A1:F1"/>
    </sheetView>
  </sheetViews>
  <sheetFormatPr defaultRowHeight="15" x14ac:dyDescent="0.25"/>
  <cols>
    <col min="1" max="1" width="41.140625" customWidth="1"/>
    <col min="2" max="2" width="8.85546875" customWidth="1"/>
  </cols>
  <sheetData>
    <row r="1" spans="1:7" x14ac:dyDescent="0.25">
      <c r="A1" s="256" t="s">
        <v>352</v>
      </c>
      <c r="B1" s="256"/>
      <c r="C1" s="256"/>
      <c r="D1" s="256"/>
      <c r="E1" s="256"/>
      <c r="F1" s="256"/>
    </row>
    <row r="2" spans="1:7" x14ac:dyDescent="0.25">
      <c r="A2" s="256" t="s">
        <v>353</v>
      </c>
      <c r="B2" s="256"/>
      <c r="C2" s="256"/>
      <c r="D2" s="256"/>
      <c r="E2" s="256"/>
      <c r="F2" s="256"/>
    </row>
    <row r="6" spans="1:7" x14ac:dyDescent="0.25">
      <c r="B6" s="257" t="s">
        <v>359</v>
      </c>
      <c r="C6" s="257"/>
      <c r="D6" s="257"/>
      <c r="E6" s="257"/>
      <c r="F6" s="257"/>
    </row>
    <row r="7" spans="1:7" ht="15.75" thickBot="1" x14ac:dyDescent="0.3">
      <c r="B7" s="74" t="s">
        <v>50</v>
      </c>
      <c r="C7" s="74" t="s">
        <v>336</v>
      </c>
      <c r="D7" s="74" t="s">
        <v>29</v>
      </c>
      <c r="E7" s="74" t="s">
        <v>27</v>
      </c>
      <c r="F7" s="74" t="s">
        <v>32</v>
      </c>
    </row>
    <row r="8" spans="1:7" ht="28.9" customHeight="1" thickTop="1" x14ac:dyDescent="0.25">
      <c r="A8" s="174" t="s">
        <v>356</v>
      </c>
      <c r="B8" s="175">
        <f>'2019_cntl'!B31</f>
        <v>3.5646028571428565</v>
      </c>
      <c r="C8" s="170"/>
      <c r="D8" s="175">
        <f>'2019_cntl'!D31</f>
        <v>22.379337142857139</v>
      </c>
      <c r="E8" s="170"/>
      <c r="F8" s="170"/>
    </row>
    <row r="9" spans="1:7" x14ac:dyDescent="0.25">
      <c r="A9" s="11" t="s">
        <v>357</v>
      </c>
      <c r="B9" s="176">
        <f>B8*5%</f>
        <v>0.17823014285714284</v>
      </c>
      <c r="C9" s="170"/>
      <c r="D9" s="176">
        <f t="shared" ref="D9" si="0">D8*5%</f>
        <v>1.118966857142857</v>
      </c>
      <c r="E9" s="170"/>
      <c r="F9" s="170"/>
    </row>
    <row r="10" spans="1:7" x14ac:dyDescent="0.25">
      <c r="A10" s="11"/>
      <c r="B10" s="51"/>
      <c r="C10" s="51"/>
      <c r="D10" s="51"/>
      <c r="E10" s="51"/>
      <c r="F10" s="33"/>
    </row>
    <row r="11" spans="1:7" x14ac:dyDescent="0.25">
      <c r="A11" s="11" t="s">
        <v>358</v>
      </c>
      <c r="B11" s="51">
        <f ca="1">SUM(B12:B13)</f>
        <v>9.4121916297118524E-3</v>
      </c>
      <c r="D11" s="51">
        <f ca="1">SUM(D12:D13)</f>
        <v>3.4898656574206637</v>
      </c>
    </row>
    <row r="12" spans="1:7" x14ac:dyDescent="0.25">
      <c r="A12" s="11" t="s">
        <v>360</v>
      </c>
      <c r="B12" s="170"/>
      <c r="C12" s="170"/>
      <c r="D12" s="51">
        <f>'AnnEmis2016-GVEA#1'!BG68+EmissionUnit_Tabulations!BQ62</f>
        <v>1.6075640690871809</v>
      </c>
      <c r="E12" s="170"/>
      <c r="F12" s="170"/>
    </row>
    <row r="13" spans="1:7" x14ac:dyDescent="0.25">
      <c r="A13" s="11" t="s">
        <v>361</v>
      </c>
      <c r="B13" s="51">
        <f ca="1">'STF-12'!$F$165</f>
        <v>9.4121916297118524E-3</v>
      </c>
      <c r="C13" s="170"/>
      <c r="D13" s="51">
        <f ca="1">'STF-12'!$D$165</f>
        <v>1.8823015883334828</v>
      </c>
      <c r="E13" s="170"/>
      <c r="F13" s="170"/>
    </row>
    <row r="14" spans="1:7" x14ac:dyDescent="0.25">
      <c r="A14" s="11"/>
      <c r="B14" s="11"/>
      <c r="C14" s="11"/>
      <c r="D14" s="11"/>
      <c r="E14" s="11"/>
      <c r="F14" s="11"/>
      <c r="G14" s="11"/>
    </row>
    <row r="15" spans="1:7" x14ac:dyDescent="0.25">
      <c r="A15" s="11" t="s">
        <v>354</v>
      </c>
      <c r="B15" s="171">
        <f ca="1">B11/B8</f>
        <v>2.6404601036694522E-3</v>
      </c>
      <c r="C15" s="170"/>
      <c r="D15" s="171">
        <f ca="1">D11/D8</f>
        <v>0.15594142199759173</v>
      </c>
      <c r="E15" s="170"/>
      <c r="F15" s="170"/>
    </row>
    <row r="17" spans="1:6" x14ac:dyDescent="0.25">
      <c r="A17" s="1" t="s">
        <v>355</v>
      </c>
      <c r="B17" s="255">
        <f ca="1">B11/B9</f>
        <v>5.2809202073389037E-2</v>
      </c>
      <c r="C17" s="99"/>
      <c r="D17" s="255">
        <f ca="1">D11/D9</f>
        <v>3.1188284399518342</v>
      </c>
      <c r="E17" s="99"/>
      <c r="F17" s="99"/>
    </row>
  </sheetData>
  <mergeCells count="3">
    <mergeCell ref="A1:F1"/>
    <mergeCell ref="A2:F2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O171"/>
  <sheetViews>
    <sheetView zoomScaleNormal="100" workbookViewId="0">
      <selection sqref="A1:I1"/>
    </sheetView>
  </sheetViews>
  <sheetFormatPr defaultColWidth="8.85546875" defaultRowHeight="15" x14ac:dyDescent="0.25"/>
  <cols>
    <col min="1" max="1" width="27.7109375" customWidth="1"/>
    <col min="9" max="9" width="18.140625" customWidth="1"/>
    <col min="13" max="13" width="11.42578125" customWidth="1"/>
    <col min="25" max="25" width="11.140625" customWidth="1"/>
  </cols>
  <sheetData>
    <row r="1" spans="1:9" ht="18.75" x14ac:dyDescent="0.3">
      <c r="A1" s="259" t="s">
        <v>0</v>
      </c>
      <c r="B1" s="259"/>
      <c r="C1" s="259"/>
      <c r="D1" s="259"/>
      <c r="E1" s="259"/>
      <c r="F1" s="259"/>
      <c r="G1" s="259"/>
      <c r="H1" s="259"/>
      <c r="I1" s="259"/>
    </row>
    <row r="3" spans="1:9" x14ac:dyDescent="0.25">
      <c r="A3" s="1" t="s">
        <v>1</v>
      </c>
      <c r="B3" s="2" t="s">
        <v>2</v>
      </c>
    </row>
    <row r="4" spans="1:9" x14ac:dyDescent="0.25">
      <c r="A4" s="1" t="s">
        <v>3</v>
      </c>
      <c r="B4" s="3">
        <v>2021</v>
      </c>
    </row>
    <row r="6" spans="1:9" ht="15.75" x14ac:dyDescent="0.25">
      <c r="A6" s="260" t="s">
        <v>4</v>
      </c>
      <c r="B6" s="260"/>
      <c r="C6" s="260"/>
      <c r="D6" s="260"/>
      <c r="E6" s="260"/>
      <c r="F6" s="260"/>
      <c r="G6" s="260"/>
      <c r="H6" s="260"/>
    </row>
    <row r="7" spans="1:9" x14ac:dyDescent="0.25">
      <c r="A7" s="4"/>
      <c r="B7" s="4"/>
      <c r="C7" s="4"/>
      <c r="D7" s="4"/>
      <c r="E7" s="4"/>
      <c r="F7" s="4"/>
      <c r="G7" s="4"/>
      <c r="H7" s="4"/>
    </row>
    <row r="8" spans="1:9" x14ac:dyDescent="0.25">
      <c r="A8" s="5" t="s">
        <v>5</v>
      </c>
      <c r="B8" s="4"/>
      <c r="C8" s="4"/>
      <c r="D8" s="4"/>
      <c r="E8" s="4"/>
      <c r="F8" s="4"/>
      <c r="G8" s="4"/>
      <c r="H8" s="4"/>
    </row>
    <row r="9" spans="1:9" ht="15" customHeight="1" x14ac:dyDescent="0.25">
      <c r="A9" s="6" t="s">
        <v>6</v>
      </c>
      <c r="B9" s="4"/>
      <c r="C9" s="4"/>
      <c r="D9" s="4"/>
      <c r="E9" s="4"/>
      <c r="F9" s="4"/>
      <c r="G9" s="4"/>
      <c r="H9" s="4"/>
    </row>
    <row r="10" spans="1:9" ht="15" customHeight="1" x14ac:dyDescent="0.25">
      <c r="A10" s="6" t="s">
        <v>7</v>
      </c>
      <c r="B10" s="4"/>
      <c r="C10" s="4"/>
      <c r="D10" s="4"/>
      <c r="E10" s="4"/>
      <c r="F10" s="4"/>
      <c r="G10" s="4"/>
      <c r="H10" s="4"/>
    </row>
    <row r="11" spans="1:9" ht="15" customHeight="1" x14ac:dyDescent="0.25">
      <c r="A11" s="6" t="s">
        <v>8</v>
      </c>
      <c r="B11" s="4"/>
      <c r="C11" s="4"/>
      <c r="D11" s="4"/>
      <c r="E11" s="4"/>
      <c r="F11" s="4"/>
      <c r="G11" s="4"/>
      <c r="H11" s="4"/>
    </row>
    <row r="12" spans="1:9" ht="15" customHeight="1" x14ac:dyDescent="0.25">
      <c r="A12" s="6" t="s">
        <v>9</v>
      </c>
      <c r="B12" s="4"/>
      <c r="C12" s="4"/>
      <c r="D12" s="4"/>
      <c r="E12" s="4"/>
      <c r="F12" s="4"/>
      <c r="G12" s="4"/>
      <c r="H12" s="4"/>
    </row>
    <row r="13" spans="1:9" ht="15" customHeight="1" x14ac:dyDescent="0.25">
      <c r="A13" s="6" t="s">
        <v>10</v>
      </c>
      <c r="B13" s="4"/>
      <c r="C13" s="4"/>
      <c r="D13" s="4"/>
      <c r="E13" s="4"/>
      <c r="F13" s="4"/>
      <c r="G13" s="4"/>
      <c r="H13" s="4"/>
    </row>
    <row r="14" spans="1:9" x14ac:dyDescent="0.25">
      <c r="A14" s="4"/>
      <c r="B14" s="4"/>
      <c r="C14" s="4"/>
      <c r="D14" s="4"/>
      <c r="E14" s="4"/>
      <c r="F14" s="4"/>
      <c r="G14" s="4"/>
      <c r="H14" s="4"/>
    </row>
    <row r="15" spans="1:9" x14ac:dyDescent="0.25">
      <c r="A15" s="2"/>
      <c r="B15" s="257" t="s">
        <v>11</v>
      </c>
      <c r="C15" s="257"/>
      <c r="D15" s="4" t="s">
        <v>12</v>
      </c>
      <c r="F15" s="257" t="s">
        <v>13</v>
      </c>
      <c r="G15" s="257"/>
      <c r="H15" t="s">
        <v>14</v>
      </c>
    </row>
    <row r="16" spans="1:9" x14ac:dyDescent="0.25">
      <c r="A16" s="7" t="s">
        <v>15</v>
      </c>
      <c r="B16" s="8" t="s">
        <v>16</v>
      </c>
      <c r="C16" s="8" t="s">
        <v>17</v>
      </c>
      <c r="D16" s="8" t="s">
        <v>18</v>
      </c>
      <c r="F16" s="261" t="s">
        <v>19</v>
      </c>
      <c r="G16" s="261"/>
      <c r="H16" s="8" t="s">
        <v>20</v>
      </c>
    </row>
    <row r="17" spans="1:13" x14ac:dyDescent="0.25">
      <c r="A17" t="s">
        <v>21</v>
      </c>
      <c r="B17" s="9">
        <v>0.31772881708698097</v>
      </c>
      <c r="C17" s="9">
        <v>0.68227118291301903</v>
      </c>
      <c r="D17" s="10">
        <f>SUMPRODUCT(B17:C17,B$19:C$19)</f>
        <v>2035.3928754647418</v>
      </c>
      <c r="G17" s="11" t="s">
        <v>22</v>
      </c>
      <c r="H17" s="9">
        <v>0.78390298205494036</v>
      </c>
    </row>
    <row r="18" spans="1:13" x14ac:dyDescent="0.25">
      <c r="A18" t="s">
        <v>23</v>
      </c>
      <c r="B18" s="12">
        <v>1</v>
      </c>
      <c r="C18" s="12">
        <v>0</v>
      </c>
      <c r="D18" s="10">
        <f>SUMPRODUCT(B18:C18,B$19:C$19)</f>
        <v>896</v>
      </c>
      <c r="G18" s="11" t="s">
        <v>24</v>
      </c>
      <c r="H18" s="12">
        <v>0.89751772975716571</v>
      </c>
    </row>
    <row r="19" spans="1:13" x14ac:dyDescent="0.25">
      <c r="A19" t="s">
        <v>25</v>
      </c>
      <c r="B19" s="13">
        <v>896</v>
      </c>
      <c r="C19" s="13">
        <v>2566</v>
      </c>
      <c r="G19" s="14"/>
    </row>
    <row r="21" spans="1:13" x14ac:dyDescent="0.25">
      <c r="B21" s="258" t="str">
        <f>$B$4&amp;" Baseline Space Heating Emission Factors (lb/mmBTU)"</f>
        <v>2021 Baseline Space Heating Emission Factors (lb/mmBTU)</v>
      </c>
      <c r="C21" s="258"/>
      <c r="D21" s="258"/>
      <c r="E21" s="258"/>
      <c r="F21" s="258"/>
      <c r="G21" s="258"/>
      <c r="H21" s="258"/>
      <c r="J21" s="15"/>
      <c r="K21" s="15"/>
      <c r="L21" s="15"/>
      <c r="M21" s="16"/>
    </row>
    <row r="22" spans="1:13" x14ac:dyDescent="0.25">
      <c r="A22" s="7" t="s">
        <v>26</v>
      </c>
      <c r="B22" s="8" t="s">
        <v>27</v>
      </c>
      <c r="C22" s="8" t="s">
        <v>28</v>
      </c>
      <c r="D22" s="8" t="s">
        <v>29</v>
      </c>
      <c r="E22" s="8" t="s">
        <v>30</v>
      </c>
      <c r="F22" s="8" t="s">
        <v>31</v>
      </c>
      <c r="G22" s="8" t="s">
        <v>32</v>
      </c>
      <c r="H22" s="8" t="s">
        <v>33</v>
      </c>
      <c r="J22" s="15"/>
      <c r="K22" s="15"/>
      <c r="L22" s="15"/>
      <c r="M22" s="16"/>
    </row>
    <row r="23" spans="1:13" x14ac:dyDescent="0.25">
      <c r="A23" t="s">
        <v>34</v>
      </c>
      <c r="B23" s="17">
        <f ca="1">INDIRECT("'DevSumOut-"&amp;$B$4&amp;"PB'!Y76")</f>
        <v>5.3200994096687052E-3</v>
      </c>
      <c r="C23" s="17">
        <f ca="1">INDIRECT("'DevSumOut-"&amp;$B$4&amp;"PB'!Z76")</f>
        <v>8.3698711548837262E-2</v>
      </c>
      <c r="D23" s="17">
        <f ca="1">INDIRECT("'DevSumOut-"&amp;$B$4&amp;"PB'!AA76")</f>
        <v>0.21565861511906709</v>
      </c>
      <c r="E23" s="17">
        <f ca="1">INDIRECT("'DevSumOut-"&amp;$B$4&amp;"PB'!AB76")</f>
        <v>3.4040928162862062E-3</v>
      </c>
      <c r="F23" s="17">
        <f ca="1">INDIRECT("'DevSumOut-"&amp;$B$4&amp;"PB'!AC76")</f>
        <v>3.4040928162862062E-3</v>
      </c>
      <c r="G23" s="17">
        <f ca="1">INDIRECT("'DevSumOut-"&amp;$B$4&amp;"PB'!AD76")</f>
        <v>1.8278185997418279E-4</v>
      </c>
      <c r="H23" s="17">
        <f ca="1">INDIRECT("'DevSumOut-"&amp;$B$4&amp;"PB'!AE76")</f>
        <v>3.3416317053372659E-3</v>
      </c>
      <c r="J23" s="15"/>
      <c r="K23" s="15"/>
      <c r="L23" s="15"/>
      <c r="M23" s="16"/>
    </row>
    <row r="24" spans="1:13" x14ac:dyDescent="0.25">
      <c r="A24" t="s">
        <v>35</v>
      </c>
      <c r="B24" s="17">
        <f ca="1">INDIRECT("'DevSumOut-"&amp;$B$4&amp;"PB'!Y78")</f>
        <v>5.1480144404332127E-3</v>
      </c>
      <c r="C24" s="17">
        <f ca="1">INDIRECT("'DevSumOut-"&amp;$B$4&amp;"PB'!Z78")</f>
        <v>0.12996389891696744</v>
      </c>
      <c r="D24" s="17">
        <f ca="1">INDIRECT("'DevSumOut-"&amp;$B$4&amp;"PB'!AA78")</f>
        <v>9.1864259927797814E-2</v>
      </c>
      <c r="E24" s="17">
        <f ca="1">INDIRECT("'DevSumOut-"&amp;$B$4&amp;"PB'!AB78")</f>
        <v>3.2967299611507705E-3</v>
      </c>
      <c r="F24" s="17">
        <f ca="1">INDIRECT("'DevSumOut-"&amp;$B$4&amp;"PB'!AC78")</f>
        <v>3.2967299611507705E-3</v>
      </c>
      <c r="G24" s="17">
        <f ca="1">INDIRECT("'DevSumOut-"&amp;$B$4&amp;"PB'!AD78")</f>
        <v>1.7686956241573886E-4</v>
      </c>
      <c r="H24" s="17">
        <f ca="1">INDIRECT("'DevSumOut-"&amp;$B$4&amp;"PB'!AE78")</f>
        <v>3.2335426368953826E-3</v>
      </c>
    </row>
    <row r="25" spans="1:13" x14ac:dyDescent="0.25">
      <c r="A25" t="s">
        <v>36</v>
      </c>
      <c r="B25" s="17">
        <f ca="1">INDIRECT("'DevSumOut-"&amp;$B$4&amp;"PB'!Y79")</f>
        <v>2.4700058774430449</v>
      </c>
      <c r="C25" s="17">
        <f ca="1">INDIRECT("'DevSumOut-"&amp;$B$4&amp;"PB'!Z79")</f>
        <v>0.11993029956094396</v>
      </c>
      <c r="D25" s="17">
        <f ca="1">INDIRECT("'DevSumOut-"&amp;$B$4&amp;"PB'!AA79")</f>
        <v>2.4515412783819392E-2</v>
      </c>
      <c r="E25" s="17">
        <f ca="1">INDIRECT("'DevSumOut-"&amp;$B$4&amp;"PB'!AB79")</f>
        <v>0.68408101103637164</v>
      </c>
      <c r="F25" s="17">
        <f ca="1">INDIRECT("'DevSumOut-"&amp;$B$4&amp;"PB'!AC79")</f>
        <v>0.68408101103637164</v>
      </c>
      <c r="G25" s="17">
        <f ca="1">INDIRECT("'DevSumOut-"&amp;$B$4&amp;"PB'!AD79")</f>
        <v>2.5750216574577989E-2</v>
      </c>
      <c r="H25" s="17">
        <f ca="1">INDIRECT("'DevSumOut-"&amp;$B$4&amp;"PB'!AE79")</f>
        <v>7.3628975902509124</v>
      </c>
    </row>
    <row r="26" spans="1:13" x14ac:dyDescent="0.25">
      <c r="A26" s="18"/>
    </row>
    <row r="27" spans="1:13" ht="15.75" x14ac:dyDescent="0.25">
      <c r="A27" s="260" t="s">
        <v>37</v>
      </c>
      <c r="B27" s="260"/>
      <c r="C27" s="260"/>
      <c r="D27" s="260"/>
      <c r="E27" s="260"/>
      <c r="F27" s="260"/>
      <c r="G27" s="260"/>
      <c r="H27" s="260"/>
    </row>
    <row r="28" spans="1:13" x14ac:dyDescent="0.25">
      <c r="A28" s="18"/>
    </row>
    <row r="29" spans="1:13" x14ac:dyDescent="0.25">
      <c r="A29" s="5" t="s">
        <v>5</v>
      </c>
    </row>
    <row r="30" spans="1:13" ht="15" customHeight="1" x14ac:dyDescent="0.35">
      <c r="A30" s="6" t="s">
        <v>38</v>
      </c>
    </row>
    <row r="31" spans="1:13" ht="15" customHeight="1" x14ac:dyDescent="0.35">
      <c r="A31" s="6" t="s">
        <v>39</v>
      </c>
    </row>
    <row r="32" spans="1:13" ht="15" customHeight="1" x14ac:dyDescent="0.25">
      <c r="A32" s="6" t="s">
        <v>40</v>
      </c>
    </row>
    <row r="33" spans="1:7" ht="15" customHeight="1" x14ac:dyDescent="0.25">
      <c r="A33" s="6" t="s">
        <v>41</v>
      </c>
    </row>
    <row r="34" spans="1:7" ht="15" customHeight="1" x14ac:dyDescent="0.25">
      <c r="A34" s="6" t="s">
        <v>42</v>
      </c>
    </row>
    <row r="35" spans="1:7" ht="15" customHeight="1" x14ac:dyDescent="0.25">
      <c r="A35" s="6" t="s">
        <v>43</v>
      </c>
    </row>
    <row r="36" spans="1:7" x14ac:dyDescent="0.25">
      <c r="A36" s="6"/>
    </row>
    <row r="37" spans="1:7" x14ac:dyDescent="0.25">
      <c r="A37" s="262" t="s">
        <v>44</v>
      </c>
      <c r="B37" s="262"/>
      <c r="C37" s="262"/>
      <c r="D37" s="262"/>
      <c r="E37" s="262"/>
      <c r="F37" s="262"/>
      <c r="G37" s="262"/>
    </row>
    <row r="51" spans="1:8" x14ac:dyDescent="0.25">
      <c r="A51" s="18" t="s">
        <v>45</v>
      </c>
    </row>
    <row r="52" spans="1:8" x14ac:dyDescent="0.25">
      <c r="A52" s="18"/>
    </row>
    <row r="53" spans="1:8" x14ac:dyDescent="0.25">
      <c r="A53" s="18"/>
      <c r="B53" s="19" t="s">
        <v>46</v>
      </c>
    </row>
    <row r="54" spans="1:8" x14ac:dyDescent="0.25">
      <c r="A54" s="18"/>
      <c r="B54" s="20" t="s">
        <v>47</v>
      </c>
      <c r="C54" s="21">
        <v>1.942443864412639E-6</v>
      </c>
      <c r="D54" s="22" t="s">
        <v>48</v>
      </c>
      <c r="E54" s="21">
        <v>5.9763082405351123E-4</v>
      </c>
    </row>
    <row r="56" spans="1:8" x14ac:dyDescent="0.25">
      <c r="E56" t="s">
        <v>49</v>
      </c>
    </row>
    <row r="57" spans="1:8" x14ac:dyDescent="0.25">
      <c r="C57" s="4" t="s">
        <v>12</v>
      </c>
      <c r="E57" s="4" t="s">
        <v>50</v>
      </c>
    </row>
    <row r="58" spans="1:8" x14ac:dyDescent="0.25">
      <c r="A58" s="7" t="s">
        <v>51</v>
      </c>
      <c r="B58" s="7"/>
      <c r="C58" s="8" t="s">
        <v>18</v>
      </c>
      <c r="D58" s="7"/>
      <c r="E58" s="7" t="s">
        <v>52</v>
      </c>
      <c r="F58" s="7"/>
    </row>
    <row r="59" spans="1:8" x14ac:dyDescent="0.25">
      <c r="A59" t="s">
        <v>53</v>
      </c>
      <c r="C59" s="23">
        <f>D17</f>
        <v>2035.3928754647418</v>
      </c>
      <c r="E59" s="24">
        <f>C59*C$54+E$54</f>
        <v>4.5512672266691976E-3</v>
      </c>
    </row>
    <row r="60" spans="1:8" x14ac:dyDescent="0.25">
      <c r="A60" s="7" t="s">
        <v>54</v>
      </c>
      <c r="B60" s="7"/>
      <c r="C60" s="25">
        <f>B19</f>
        <v>896</v>
      </c>
      <c r="D60" s="7"/>
      <c r="E60" s="26">
        <f>C60*C$54+E$54</f>
        <v>2.3380605265672359E-3</v>
      </c>
      <c r="F60" s="7"/>
    </row>
    <row r="61" spans="1:8" x14ac:dyDescent="0.25">
      <c r="D61" s="1" t="s">
        <v>55</v>
      </c>
      <c r="E61" s="27">
        <f>1-E60/E59</f>
        <v>0.48628361945727283</v>
      </c>
    </row>
    <row r="63" spans="1:8" x14ac:dyDescent="0.25">
      <c r="A63" s="257" t="s">
        <v>56</v>
      </c>
      <c r="B63" s="257"/>
      <c r="C63" s="257"/>
      <c r="D63" s="257"/>
      <c r="E63" s="257"/>
      <c r="F63" s="257"/>
      <c r="G63" s="257"/>
      <c r="H63" s="257"/>
    </row>
    <row r="65" spans="1:8" x14ac:dyDescent="0.25">
      <c r="A65" s="11" t="s">
        <v>57</v>
      </c>
      <c r="B65">
        <v>139600</v>
      </c>
      <c r="C65" t="s">
        <v>58</v>
      </c>
      <c r="D65" t="s">
        <v>59</v>
      </c>
    </row>
    <row r="66" spans="1:8" x14ac:dyDescent="0.25">
      <c r="A66" s="11" t="s">
        <v>60</v>
      </c>
      <c r="B66">
        <v>137400</v>
      </c>
      <c r="C66" t="s">
        <v>58</v>
      </c>
      <c r="D66" t="s">
        <v>59</v>
      </c>
    </row>
    <row r="67" spans="1:8" x14ac:dyDescent="0.25">
      <c r="A67" s="11" t="s">
        <v>61</v>
      </c>
      <c r="B67" s="15">
        <f>1-B66/B65</f>
        <v>1.5759312320916874E-2</v>
      </c>
    </row>
    <row r="69" spans="1:8" x14ac:dyDescent="0.25">
      <c r="B69" s="258" t="s">
        <v>62</v>
      </c>
      <c r="C69" s="258"/>
      <c r="D69" s="258"/>
      <c r="E69" s="258"/>
      <c r="F69" s="258"/>
      <c r="G69" s="258"/>
      <c r="H69" s="258"/>
    </row>
    <row r="70" spans="1:8" x14ac:dyDescent="0.25">
      <c r="A70" s="18"/>
      <c r="B70" s="8" t="s">
        <v>27</v>
      </c>
      <c r="C70" s="8" t="s">
        <v>28</v>
      </c>
      <c r="D70" s="8" t="s">
        <v>29</v>
      </c>
      <c r="E70" s="8" t="s">
        <v>30</v>
      </c>
      <c r="F70" s="8" t="s">
        <v>31</v>
      </c>
      <c r="G70" s="8" t="s">
        <v>32</v>
      </c>
      <c r="H70" s="8" t="s">
        <v>33</v>
      </c>
    </row>
    <row r="71" spans="1:8" x14ac:dyDescent="0.25">
      <c r="A71" t="s">
        <v>54</v>
      </c>
      <c r="B71" s="17">
        <f ca="1">B23</f>
        <v>5.3200994096687052E-3</v>
      </c>
      <c r="C71" s="17">
        <f ca="1">AVERAGE(C23:C24)*(1-25%)</f>
        <v>8.0123478924676764E-2</v>
      </c>
      <c r="D71" s="17">
        <f ca="1">D23*C60/D17</f>
        <v>9.493504741808817E-2</v>
      </c>
      <c r="E71" s="17">
        <f ca="1">F71</f>
        <v>1.7487382406140485E-3</v>
      </c>
      <c r="F71" s="17">
        <f ca="1">F23*(1-E61)</f>
        <v>1.7487382406140485E-3</v>
      </c>
      <c r="G71" s="17">
        <f ca="1">G23</f>
        <v>1.8278185997418279E-4</v>
      </c>
      <c r="H71" s="17">
        <f ca="1">H23</f>
        <v>3.3416317053372659E-3</v>
      </c>
    </row>
    <row r="72" spans="1:8" x14ac:dyDescent="0.25">
      <c r="A72" s="18"/>
    </row>
    <row r="73" spans="1:8" ht="15.75" thickBot="1" x14ac:dyDescent="0.3">
      <c r="A73" s="18"/>
    </row>
    <row r="74" spans="1:8" ht="16.5" thickBot="1" x14ac:dyDescent="0.3">
      <c r="A74" s="263" t="s">
        <v>63</v>
      </c>
      <c r="B74" s="264"/>
      <c r="C74" s="265"/>
    </row>
    <row r="76" spans="1:8" x14ac:dyDescent="0.25">
      <c r="A76" s="5" t="s">
        <v>5</v>
      </c>
    </row>
    <row r="77" spans="1:8" x14ac:dyDescent="0.25">
      <c r="A77" s="6" t="s">
        <v>64</v>
      </c>
    </row>
    <row r="78" spans="1:8" x14ac:dyDescent="0.25">
      <c r="A78" s="6" t="s">
        <v>65</v>
      </c>
    </row>
    <row r="79" spans="1:8" x14ac:dyDescent="0.25">
      <c r="A79" s="6" t="s">
        <v>66</v>
      </c>
    </row>
    <row r="80" spans="1:8" x14ac:dyDescent="0.25">
      <c r="A80" s="6" t="s">
        <v>67</v>
      </c>
    </row>
    <row r="82" spans="1:8" x14ac:dyDescent="0.25">
      <c r="B82" s="257" t="str">
        <f>$B$4&amp;" Nonattainment Area Heating Energy by"</f>
        <v>2021 Nonattainment Area Heating Energy by</v>
      </c>
      <c r="C82" s="257"/>
      <c r="D82" s="257"/>
      <c r="E82" s="257"/>
      <c r="F82" s="257"/>
    </row>
    <row r="83" spans="1:8" x14ac:dyDescent="0.25">
      <c r="B83" s="257" t="s">
        <v>68</v>
      </c>
      <c r="C83" s="257"/>
      <c r="D83" s="257"/>
      <c r="E83" s="257"/>
      <c r="F83" s="257"/>
    </row>
    <row r="84" spans="1:8" x14ac:dyDescent="0.25">
      <c r="C84" s="4"/>
      <c r="D84" s="4" t="s">
        <v>69</v>
      </c>
      <c r="E84" s="4" t="s">
        <v>70</v>
      </c>
    </row>
    <row r="85" spans="1:8" x14ac:dyDescent="0.25">
      <c r="A85" s="7" t="s">
        <v>26</v>
      </c>
      <c r="B85" s="7"/>
      <c r="C85" s="8" t="s">
        <v>71</v>
      </c>
      <c r="D85" s="8" t="s">
        <v>72</v>
      </c>
      <c r="E85" s="8" t="s">
        <v>73</v>
      </c>
      <c r="F85" s="7"/>
    </row>
    <row r="86" spans="1:8" x14ac:dyDescent="0.25">
      <c r="A86" t="s">
        <v>74</v>
      </c>
      <c r="C86" s="28">
        <f ca="1">INDIRECT("'DevSumOut-"&amp;$B$4&amp;"PB'!U76")</f>
        <v>31228.984725611528</v>
      </c>
      <c r="D86" s="266">
        <f>H$17</f>
        <v>0.78390298205494036</v>
      </c>
      <c r="E86" s="28">
        <f ca="1">C86/D86/2</f>
        <v>19918.909253124148</v>
      </c>
    </row>
    <row r="87" spans="1:8" x14ac:dyDescent="0.25">
      <c r="A87" t="s">
        <v>75</v>
      </c>
      <c r="C87" s="28">
        <f ca="1">INDIRECT("'DevSumOut-"&amp;$B$4&amp;"PB'!U78")</f>
        <v>10361.050052941217</v>
      </c>
      <c r="D87" s="267"/>
      <c r="E87" s="28">
        <f ca="1">C87/D86/2</f>
        <v>6608.6303344455546</v>
      </c>
    </row>
    <row r="88" spans="1:8" x14ac:dyDescent="0.25">
      <c r="A88" s="7" t="s">
        <v>76</v>
      </c>
      <c r="B88" s="7"/>
      <c r="C88" s="29">
        <f ca="1">INDIRECT("'DevSumOut-"&amp;$B$4&amp;"PB'!U79")</f>
        <v>6948.6290381074932</v>
      </c>
      <c r="D88" s="30">
        <f>H$18</f>
        <v>0.89751772975716571</v>
      </c>
      <c r="E88" s="29">
        <f ca="1">C88/D88/2</f>
        <v>3871.0260576064211</v>
      </c>
      <c r="F88" s="7"/>
    </row>
    <row r="89" spans="1:8" x14ac:dyDescent="0.25">
      <c r="A89" s="2" t="s">
        <v>77</v>
      </c>
      <c r="C89" s="31">
        <f ca="1">SUM(C86:C88)</f>
        <v>48538.663816660235</v>
      </c>
      <c r="D89" s="2"/>
      <c r="E89" s="31">
        <f ca="1">SUM(E86:E88)</f>
        <v>30398.565645176124</v>
      </c>
    </row>
    <row r="91" spans="1:8" x14ac:dyDescent="0.25">
      <c r="B91" s="258" t="s">
        <v>78</v>
      </c>
      <c r="C91" s="258"/>
      <c r="D91" s="258"/>
      <c r="E91" s="258"/>
      <c r="F91" s="258"/>
      <c r="G91" s="258"/>
      <c r="H91" s="258"/>
    </row>
    <row r="92" spans="1:8" x14ac:dyDescent="0.25">
      <c r="A92" s="7" t="s">
        <v>26</v>
      </c>
      <c r="B92" s="8" t="s">
        <v>27</v>
      </c>
      <c r="C92" s="8" t="s">
        <v>28</v>
      </c>
      <c r="D92" s="8" t="s">
        <v>29</v>
      </c>
      <c r="E92" s="8" t="s">
        <v>30</v>
      </c>
      <c r="F92" s="8" t="s">
        <v>31</v>
      </c>
      <c r="G92" s="8" t="s">
        <v>32</v>
      </c>
      <c r="H92" s="8" t="s">
        <v>33</v>
      </c>
    </row>
    <row r="93" spans="1:8" x14ac:dyDescent="0.25">
      <c r="A93" t="s">
        <v>79</v>
      </c>
      <c r="B93" s="17">
        <f t="shared" ref="B93:H95" ca="1" si="0">B23</f>
        <v>5.3200994096687052E-3</v>
      </c>
      <c r="C93" s="17">
        <f t="shared" ca="1" si="0"/>
        <v>8.3698711548837262E-2</v>
      </c>
      <c r="D93" s="17">
        <f t="shared" ca="1" si="0"/>
        <v>0.21565861511906709</v>
      </c>
      <c r="E93" s="17">
        <f t="shared" ca="1" si="0"/>
        <v>3.4040928162862062E-3</v>
      </c>
      <c r="F93" s="17">
        <f t="shared" ca="1" si="0"/>
        <v>3.4040928162862062E-3</v>
      </c>
      <c r="G93" s="17">
        <f t="shared" ca="1" si="0"/>
        <v>1.8278185997418279E-4</v>
      </c>
      <c r="H93" s="17">
        <f t="shared" ca="1" si="0"/>
        <v>3.3416317053372659E-3</v>
      </c>
    </row>
    <row r="94" spans="1:8" x14ac:dyDescent="0.25">
      <c r="A94" t="s">
        <v>80</v>
      </c>
      <c r="B94" s="17">
        <f t="shared" ca="1" si="0"/>
        <v>5.1480144404332127E-3</v>
      </c>
      <c r="C94" s="17">
        <f t="shared" ca="1" si="0"/>
        <v>0.12996389891696744</v>
      </c>
      <c r="D94" s="17">
        <f t="shared" ca="1" si="0"/>
        <v>9.1864259927797814E-2</v>
      </c>
      <c r="E94" s="17">
        <f t="shared" ca="1" si="0"/>
        <v>3.2967299611507705E-3</v>
      </c>
      <c r="F94" s="17">
        <f t="shared" ca="1" si="0"/>
        <v>3.2967299611507705E-3</v>
      </c>
      <c r="G94" s="17">
        <f t="shared" ca="1" si="0"/>
        <v>1.7686956241573886E-4</v>
      </c>
      <c r="H94" s="17">
        <f t="shared" ca="1" si="0"/>
        <v>3.2335426368953826E-3</v>
      </c>
    </row>
    <row r="95" spans="1:8" x14ac:dyDescent="0.25">
      <c r="A95" s="7" t="s">
        <v>76</v>
      </c>
      <c r="B95" s="32">
        <f t="shared" ca="1" si="0"/>
        <v>2.4700058774430449</v>
      </c>
      <c r="C95" s="32">
        <f t="shared" ca="1" si="0"/>
        <v>0.11993029956094396</v>
      </c>
      <c r="D95" s="32">
        <f t="shared" ca="1" si="0"/>
        <v>2.4515412783819392E-2</v>
      </c>
      <c r="E95" s="32">
        <f t="shared" ca="1" si="0"/>
        <v>0.68408101103637164</v>
      </c>
      <c r="F95" s="32">
        <f t="shared" ca="1" si="0"/>
        <v>0.68408101103637164</v>
      </c>
      <c r="G95" s="32">
        <f t="shared" ca="1" si="0"/>
        <v>2.5750216574577989E-2</v>
      </c>
      <c r="H95" s="32">
        <f t="shared" ca="1" si="0"/>
        <v>7.3628975902509124</v>
      </c>
    </row>
    <row r="96" spans="1:8" x14ac:dyDescent="0.25">
      <c r="B96" s="33"/>
      <c r="C96" s="33"/>
      <c r="D96" s="33"/>
      <c r="E96" s="33"/>
      <c r="F96" s="33"/>
      <c r="G96" s="33"/>
      <c r="H96" s="33"/>
    </row>
    <row r="97" spans="1:13" x14ac:dyDescent="0.25">
      <c r="B97" s="257" t="str">
        <f>$B$4&amp;" Baseline Emissions by Affected Fuel Type (tons/winter day)"</f>
        <v>2021 Baseline Emissions by Affected Fuel Type (tons/winter day)</v>
      </c>
      <c r="C97" s="257"/>
      <c r="D97" s="257"/>
      <c r="E97" s="257"/>
      <c r="F97" s="257"/>
      <c r="G97" s="257"/>
      <c r="H97" s="257"/>
    </row>
    <row r="98" spans="1:13" x14ac:dyDescent="0.25">
      <c r="A98" s="7" t="s">
        <v>81</v>
      </c>
      <c r="B98" s="8" t="s">
        <v>27</v>
      </c>
      <c r="C98" s="8" t="s">
        <v>28</v>
      </c>
      <c r="D98" s="34" t="s">
        <v>29</v>
      </c>
      <c r="E98" s="8" t="s">
        <v>30</v>
      </c>
      <c r="F98" s="35" t="s">
        <v>31</v>
      </c>
      <c r="G98" s="8" t="s">
        <v>32</v>
      </c>
      <c r="H98" s="8" t="s">
        <v>33</v>
      </c>
    </row>
    <row r="99" spans="1:13" x14ac:dyDescent="0.25">
      <c r="A99" t="s">
        <v>79</v>
      </c>
      <c r="B99" s="36">
        <f ca="1">B93*$C86/2000</f>
        <v>8.3070651601639456E-2</v>
      </c>
      <c r="C99" s="36">
        <f t="shared" ref="C99:H99" ca="1" si="1">C93*$C86/2000</f>
        <v>1.306912892256002</v>
      </c>
      <c r="D99" s="37">
        <f t="shared" ca="1" si="1"/>
        <v>3.3673997987499407</v>
      </c>
      <c r="E99" s="36">
        <f t="shared" ca="1" si="1"/>
        <v>5.3153181282182937E-2</v>
      </c>
      <c r="F99" s="38">
        <f t="shared" ca="1" si="1"/>
        <v>5.3153181282182937E-2</v>
      </c>
      <c r="G99" s="36">
        <f t="shared" ca="1" si="1"/>
        <v>2.8540459566263098E-3</v>
      </c>
      <c r="H99" s="36">
        <f t="shared" ca="1" si="1"/>
        <v>5.2177882742298336E-2</v>
      </c>
    </row>
    <row r="100" spans="1:13" x14ac:dyDescent="0.25">
      <c r="A100" t="s">
        <v>80</v>
      </c>
      <c r="B100" s="33">
        <f t="shared" ref="B100:H101" ca="1" si="2">B94*$C87/2000</f>
        <v>2.6669417645296341E-2</v>
      </c>
      <c r="C100" s="33">
        <f t="shared" ca="1" si="2"/>
        <v>0.67328123087704628</v>
      </c>
      <c r="D100" s="39">
        <f t="shared" ca="1" si="2"/>
        <v>0.47590509759415761</v>
      </c>
      <c r="E100" s="33">
        <f t="shared" ca="1" si="2"/>
        <v>1.7078792069257043E-2</v>
      </c>
      <c r="F100" s="40">
        <f t="shared" ca="1" si="2"/>
        <v>1.7078792069257043E-2</v>
      </c>
      <c r="G100" s="33">
        <f t="shared" ca="1" si="2"/>
        <v>9.1627719451564053E-4</v>
      </c>
      <c r="H100" s="33">
        <f t="shared" ca="1" si="2"/>
        <v>1.6751448554596295E-2</v>
      </c>
    </row>
    <row r="101" spans="1:13" x14ac:dyDescent="0.25">
      <c r="A101" s="7" t="s">
        <v>76</v>
      </c>
      <c r="B101" s="41">
        <f t="shared" ca="1" si="2"/>
        <v>8.5815772821484604</v>
      </c>
      <c r="C101" s="41">
        <f t="shared" ca="1" si="2"/>
        <v>0.41667558103905278</v>
      </c>
      <c r="D101" s="42">
        <f t="shared" ca="1" si="2"/>
        <v>8.5174254575419536E-2</v>
      </c>
      <c r="E101" s="41">
        <f t="shared" ca="1" si="2"/>
        <v>2.3767125888526319</v>
      </c>
      <c r="F101" s="43">
        <f t="shared" ca="1" si="2"/>
        <v>2.3767125888526319</v>
      </c>
      <c r="G101" s="41">
        <f t="shared" ca="1" si="2"/>
        <v>8.9464351313834733E-2</v>
      </c>
      <c r="H101" s="41">
        <f t="shared" ca="1" si="2"/>
        <v>25.58102200011459</v>
      </c>
    </row>
    <row r="102" spans="1:13" x14ac:dyDescent="0.25">
      <c r="A102" s="2" t="s">
        <v>77</v>
      </c>
      <c r="B102" s="44">
        <f ca="1">SUM(B99:B101)</f>
        <v>8.6913173513953961</v>
      </c>
      <c r="C102" s="44">
        <f t="shared" ref="C102:H102" ca="1" si="3">SUM(C99:C101)</f>
        <v>2.3968697041721008</v>
      </c>
      <c r="D102" s="45">
        <f t="shared" ca="1" si="3"/>
        <v>3.928479150919518</v>
      </c>
      <c r="E102" s="44">
        <f t="shared" ca="1" si="3"/>
        <v>2.446944562204072</v>
      </c>
      <c r="F102" s="46">
        <f t="shared" ca="1" si="3"/>
        <v>2.446944562204072</v>
      </c>
      <c r="G102" s="44">
        <f t="shared" ca="1" si="3"/>
        <v>9.3234674464976686E-2</v>
      </c>
      <c r="H102" s="44">
        <f t="shared" ca="1" si="3"/>
        <v>25.649951331411486</v>
      </c>
    </row>
    <row r="103" spans="1:13" x14ac:dyDescent="0.25">
      <c r="A103" s="2"/>
      <c r="B103" s="47"/>
      <c r="C103" s="47"/>
      <c r="D103" s="47"/>
      <c r="E103" s="47"/>
      <c r="F103" s="47"/>
      <c r="G103" s="47"/>
      <c r="H103" s="47"/>
    </row>
    <row r="104" spans="1:13" ht="15.75" thickBot="1" x14ac:dyDescent="0.3"/>
    <row r="105" spans="1:13" ht="16.5" thickBot="1" x14ac:dyDescent="0.3">
      <c r="A105" s="263" t="s">
        <v>82</v>
      </c>
      <c r="B105" s="264"/>
      <c r="C105" s="265"/>
      <c r="H105" s="14"/>
    </row>
    <row r="106" spans="1:13" x14ac:dyDescent="0.25">
      <c r="M106" s="18"/>
    </row>
    <row r="107" spans="1:13" x14ac:dyDescent="0.25">
      <c r="A107" s="5" t="s">
        <v>5</v>
      </c>
      <c r="M107" s="18"/>
    </row>
    <row r="108" spans="1:13" ht="15" customHeight="1" x14ac:dyDescent="0.35">
      <c r="A108" s="6" t="s">
        <v>83</v>
      </c>
      <c r="M108" s="18"/>
    </row>
    <row r="109" spans="1:13" x14ac:dyDescent="0.25">
      <c r="A109" s="6" t="s">
        <v>84</v>
      </c>
      <c r="M109" s="18"/>
    </row>
    <row r="110" spans="1:13" x14ac:dyDescent="0.25">
      <c r="A110" s="6" t="s">
        <v>85</v>
      </c>
      <c r="M110" s="18"/>
    </row>
    <row r="111" spans="1:13" x14ac:dyDescent="0.25">
      <c r="A111" s="6" t="s">
        <v>86</v>
      </c>
      <c r="M111" s="18"/>
    </row>
    <row r="112" spans="1:13" x14ac:dyDescent="0.25">
      <c r="A112" s="6" t="s">
        <v>87</v>
      </c>
      <c r="M112" s="18"/>
    </row>
    <row r="113" spans="2:13" x14ac:dyDescent="0.25">
      <c r="M113" s="18"/>
    </row>
    <row r="114" spans="2:13" x14ac:dyDescent="0.25">
      <c r="B114" s="262" t="s">
        <v>88</v>
      </c>
      <c r="C114" s="262"/>
      <c r="D114" s="262"/>
      <c r="E114" s="262"/>
      <c r="F114" s="262"/>
      <c r="G114" s="262"/>
      <c r="H114" s="262"/>
      <c r="M114" s="18"/>
    </row>
    <row r="115" spans="2:13" x14ac:dyDescent="0.25">
      <c r="B115" s="11"/>
      <c r="D115" s="48"/>
      <c r="E115" s="48"/>
      <c r="F115" s="49"/>
      <c r="M115" s="18"/>
    </row>
    <row r="116" spans="2:13" x14ac:dyDescent="0.25">
      <c r="B116" s="11"/>
      <c r="C116" s="50" t="s">
        <v>89</v>
      </c>
      <c r="D116" s="48">
        <f>D135</f>
        <v>0.81</v>
      </c>
      <c r="E116" s="49"/>
      <c r="M116" s="18"/>
    </row>
    <row r="117" spans="2:13" x14ac:dyDescent="0.25">
      <c r="B117" s="11"/>
      <c r="C117" s="50" t="s">
        <v>90</v>
      </c>
      <c r="D117" s="48">
        <v>0.12</v>
      </c>
      <c r="E117" s="51" t="s">
        <v>91</v>
      </c>
      <c r="M117" s="18"/>
    </row>
    <row r="118" spans="2:13" x14ac:dyDescent="0.25">
      <c r="B118" s="11"/>
      <c r="C118" s="50" t="s">
        <v>92</v>
      </c>
      <c r="D118" s="48">
        <f>1-1/(1+D117)</f>
        <v>0.10714285714285721</v>
      </c>
      <c r="F118" s="49"/>
      <c r="M118" s="18"/>
    </row>
    <row r="119" spans="2:13" x14ac:dyDescent="0.25">
      <c r="B119" s="11"/>
      <c r="D119" s="50"/>
      <c r="E119" s="48"/>
      <c r="F119" s="49"/>
      <c r="M119" s="18"/>
    </row>
    <row r="120" spans="2:13" x14ac:dyDescent="0.25">
      <c r="B120" s="262" t="s">
        <v>93</v>
      </c>
      <c r="C120" s="262"/>
      <c r="D120" s="262"/>
      <c r="E120" s="262"/>
      <c r="F120" s="262"/>
      <c r="G120" s="262"/>
      <c r="H120" s="262"/>
      <c r="M120" s="18"/>
    </row>
    <row r="121" spans="2:13" x14ac:dyDescent="0.25">
      <c r="B121" s="11"/>
      <c r="D121" s="48"/>
      <c r="E121" s="50"/>
      <c r="F121" s="49"/>
      <c r="M121" s="18"/>
    </row>
    <row r="122" spans="2:13" x14ac:dyDescent="0.25">
      <c r="B122" s="11"/>
      <c r="C122" s="50" t="s">
        <v>94</v>
      </c>
      <c r="D122" s="52">
        <v>-0.29399999999999998</v>
      </c>
      <c r="E122" s="53" t="str">
        <f>"("&amp;TEXT(-D122,"0%")&amp;" decrease in oil demand per 100% increase in oil price -- UAF estimate)"</f>
        <v>(29% decrease in oil demand per 100% increase in oil price -- UAF estimate)</v>
      </c>
      <c r="F122" s="49"/>
      <c r="M122" s="18"/>
    </row>
    <row r="123" spans="2:13" x14ac:dyDescent="0.25">
      <c r="B123" s="11"/>
      <c r="C123" s="50" t="s">
        <v>95</v>
      </c>
      <c r="D123" s="54">
        <v>7.0000000000000007E-2</v>
      </c>
      <c r="E123" s="48"/>
      <c r="F123" s="11" t="s">
        <v>96</v>
      </c>
      <c r="G123" s="54">
        <v>2.89</v>
      </c>
      <c r="H123" t="s">
        <v>97</v>
      </c>
      <c r="M123" s="18"/>
    </row>
    <row r="124" spans="2:13" x14ac:dyDescent="0.25">
      <c r="B124" s="11"/>
      <c r="C124" s="50" t="s">
        <v>98</v>
      </c>
      <c r="D124" s="55">
        <f>D123/G123</f>
        <v>2.4221453287197232E-2</v>
      </c>
      <c r="E124" s="48"/>
      <c r="F124" s="49"/>
      <c r="M124" s="18"/>
    </row>
    <row r="125" spans="2:13" x14ac:dyDescent="0.25">
      <c r="B125" s="11"/>
      <c r="C125" s="50" t="s">
        <v>99</v>
      </c>
      <c r="D125" s="56">
        <f>-D122*D124</f>
        <v>7.1211072664359859E-3</v>
      </c>
      <c r="E125" s="53"/>
      <c r="F125" s="49"/>
      <c r="M125" s="18"/>
    </row>
    <row r="126" spans="2:13" x14ac:dyDescent="0.25">
      <c r="B126" s="11"/>
      <c r="C126" s="50" t="s">
        <v>100</v>
      </c>
      <c r="D126" s="52">
        <v>0.318</v>
      </c>
      <c r="E126" s="53" t="str">
        <f>"("&amp;TEXT(D126,"0%")&amp;" wood use increase per 100% increase in oil price)"</f>
        <v>(32% wood use increase per 100% increase in oil price)</v>
      </c>
      <c r="F126" s="49"/>
      <c r="M126" s="18"/>
    </row>
    <row r="127" spans="2:13" x14ac:dyDescent="0.25">
      <c r="B127" s="11"/>
      <c r="C127" s="50" t="s">
        <v>101</v>
      </c>
      <c r="D127" s="56">
        <f>D124*D126</f>
        <v>7.70242214532872E-3</v>
      </c>
      <c r="E127" s="53"/>
      <c r="F127" s="49"/>
      <c r="M127" s="18"/>
    </row>
    <row r="128" spans="2:13" x14ac:dyDescent="0.25">
      <c r="B128" s="11"/>
      <c r="D128" s="48"/>
      <c r="E128" s="53"/>
      <c r="F128" s="49"/>
      <c r="M128" s="18"/>
    </row>
    <row r="129" spans="1:13" x14ac:dyDescent="0.25">
      <c r="B129" s="262" t="s">
        <v>102</v>
      </c>
      <c r="C129" s="262"/>
      <c r="D129" s="262"/>
      <c r="E129" s="262"/>
      <c r="F129" s="262"/>
      <c r="G129" s="262"/>
      <c r="H129" s="262"/>
      <c r="M129" s="18"/>
    </row>
    <row r="130" spans="1:13" x14ac:dyDescent="0.25">
      <c r="B130" s="257" t="s">
        <v>103</v>
      </c>
      <c r="C130" s="257"/>
      <c r="D130" s="257"/>
      <c r="E130" s="257"/>
      <c r="F130" s="257"/>
      <c r="G130" s="257"/>
      <c r="H130" s="257"/>
      <c r="M130" s="18"/>
    </row>
    <row r="131" spans="1:13" x14ac:dyDescent="0.25">
      <c r="B131" s="4"/>
      <c r="C131" s="4"/>
      <c r="D131" s="4"/>
      <c r="E131" s="4"/>
      <c r="F131" s="4"/>
      <c r="G131" s="4"/>
      <c r="H131" s="4"/>
      <c r="M131" s="18"/>
    </row>
    <row r="132" spans="1:13" x14ac:dyDescent="0.25">
      <c r="D132" s="257" t="s">
        <v>104</v>
      </c>
      <c r="E132" s="257"/>
      <c r="F132" s="4" t="s">
        <v>105</v>
      </c>
      <c r="M132" s="18"/>
    </row>
    <row r="133" spans="1:13" x14ac:dyDescent="0.25">
      <c r="D133" s="4" t="s">
        <v>106</v>
      </c>
      <c r="E133" s="4" t="s">
        <v>107</v>
      </c>
      <c r="F133" s="4" t="s">
        <v>108</v>
      </c>
      <c r="M133" s="18"/>
    </row>
    <row r="134" spans="1:13" x14ac:dyDescent="0.25">
      <c r="D134" s="8" t="s">
        <v>109</v>
      </c>
      <c r="E134" s="8" t="s">
        <v>109</v>
      </c>
      <c r="F134" s="8" t="s">
        <v>110</v>
      </c>
      <c r="M134" s="18"/>
    </row>
    <row r="135" spans="1:13" x14ac:dyDescent="0.25">
      <c r="B135" s="11"/>
      <c r="D135" s="48">
        <f>'EFs-BTU'!D54</f>
        <v>0.81</v>
      </c>
      <c r="E135" s="48">
        <v>0.6</v>
      </c>
      <c r="F135" s="49">
        <f>E135/D135</f>
        <v>0.7407407407407407</v>
      </c>
      <c r="M135" s="18"/>
    </row>
    <row r="136" spans="1:13" x14ac:dyDescent="0.25">
      <c r="B136" s="11"/>
      <c r="D136" s="48"/>
      <c r="E136" s="53"/>
      <c r="F136" s="49"/>
      <c r="M136" s="18"/>
    </row>
    <row r="137" spans="1:13" x14ac:dyDescent="0.25">
      <c r="B137" s="257" t="str">
        <f>$B$4&amp;" Nonattainment Area Heating Energy by"</f>
        <v>2021 Nonattainment Area Heating Energy by</v>
      </c>
      <c r="C137" s="257"/>
      <c r="D137" s="257"/>
      <c r="E137" s="257"/>
      <c r="F137" s="257"/>
      <c r="G137" s="257"/>
      <c r="M137" s="18"/>
    </row>
    <row r="138" spans="1:13" x14ac:dyDescent="0.25">
      <c r="B138" s="257" t="s">
        <v>330</v>
      </c>
      <c r="C138" s="257"/>
      <c r="D138" s="257"/>
      <c r="E138" s="257"/>
      <c r="F138" s="257"/>
      <c r="G138" s="257"/>
      <c r="M138" s="18"/>
    </row>
    <row r="139" spans="1:13" x14ac:dyDescent="0.25">
      <c r="B139" s="4" t="s">
        <v>111</v>
      </c>
      <c r="C139" s="4" t="s">
        <v>112</v>
      </c>
      <c r="D139" s="4" t="s">
        <v>113</v>
      </c>
      <c r="E139" s="4" t="s">
        <v>114</v>
      </c>
      <c r="F139" s="4" t="s">
        <v>108</v>
      </c>
      <c r="G139" s="4" t="s">
        <v>115</v>
      </c>
      <c r="H139" s="4" t="s">
        <v>111</v>
      </c>
      <c r="M139" s="18"/>
    </row>
    <row r="140" spans="1:13" x14ac:dyDescent="0.25">
      <c r="B140" s="4" t="s">
        <v>71</v>
      </c>
      <c r="C140" s="4" t="s">
        <v>116</v>
      </c>
      <c r="D140" s="4" t="s">
        <v>116</v>
      </c>
      <c r="E140" s="4" t="s">
        <v>117</v>
      </c>
      <c r="F140" s="4" t="s">
        <v>118</v>
      </c>
      <c r="G140" s="4" t="s">
        <v>119</v>
      </c>
      <c r="H140" s="4" t="s">
        <v>71</v>
      </c>
      <c r="M140" s="18"/>
    </row>
    <row r="141" spans="1:13" x14ac:dyDescent="0.25">
      <c r="A141" s="7" t="s">
        <v>26</v>
      </c>
      <c r="B141" s="8" t="s">
        <v>120</v>
      </c>
      <c r="C141" s="8" t="s">
        <v>121</v>
      </c>
      <c r="D141" s="8" t="s">
        <v>121</v>
      </c>
      <c r="E141" s="8" t="s">
        <v>122</v>
      </c>
      <c r="F141" s="8" t="s">
        <v>123</v>
      </c>
      <c r="G141" s="8" t="s">
        <v>123</v>
      </c>
      <c r="H141" s="7" t="s">
        <v>124</v>
      </c>
      <c r="M141" s="18"/>
    </row>
    <row r="142" spans="1:13" x14ac:dyDescent="0.25">
      <c r="A142" t="s">
        <v>74</v>
      </c>
      <c r="B142" s="28">
        <f ca="1">C86</f>
        <v>31228.984725611528</v>
      </c>
      <c r="C142" s="57"/>
      <c r="D142" s="28">
        <f ca="1">B142+C142</f>
        <v>31228.984725611528</v>
      </c>
      <c r="E142" s="58">
        <f ca="1">-D142*$D$125</f>
        <v>-222.38495005297068</v>
      </c>
      <c r="F142" s="57"/>
      <c r="G142" s="58">
        <f ca="1">B142*$B$67</f>
        <v>492.14732375605462</v>
      </c>
      <c r="H142" s="28">
        <f ca="1">D142+E142+F142</f>
        <v>31006.599775558556</v>
      </c>
      <c r="I142" s="51"/>
      <c r="M142" s="18"/>
    </row>
    <row r="143" spans="1:13" x14ac:dyDescent="0.25">
      <c r="A143" t="s">
        <v>75</v>
      </c>
      <c r="B143" s="28">
        <f t="shared" ref="B143:B144" ca="1" si="4">C87</f>
        <v>10361.050052941217</v>
      </c>
      <c r="C143" s="57"/>
      <c r="D143" s="28">
        <f ca="1">B143+C143</f>
        <v>10361.050052941217</v>
      </c>
      <c r="E143" s="58">
        <f ca="1">-D143*$D$125</f>
        <v>-73.782148819906652</v>
      </c>
      <c r="F143" s="57"/>
      <c r="H143" s="28">
        <f ca="1">D143+E143</f>
        <v>10287.26790412131</v>
      </c>
      <c r="I143" s="51"/>
      <c r="M143" s="18"/>
    </row>
    <row r="144" spans="1:13" x14ac:dyDescent="0.25">
      <c r="A144" s="7" t="s">
        <v>76</v>
      </c>
      <c r="B144" s="29">
        <f t="shared" ca="1" si="4"/>
        <v>6948.6290381074932</v>
      </c>
      <c r="C144" s="59"/>
      <c r="D144" s="29">
        <f ca="1">B144+C144</f>
        <v>6948.6290381074932</v>
      </c>
      <c r="E144" s="60">
        <f ca="1">D144*D127</f>
        <v>53.521274182793356</v>
      </c>
      <c r="F144" s="60">
        <f ca="1">E144/F135</f>
        <v>72.25372014677103</v>
      </c>
      <c r="G144" s="7"/>
      <c r="H144" s="29">
        <f ca="1">D144+F144</f>
        <v>7020.8827582542644</v>
      </c>
      <c r="M144" s="18"/>
    </row>
    <row r="145" spans="1:13" x14ac:dyDescent="0.25">
      <c r="A145" t="s">
        <v>77</v>
      </c>
      <c r="B145" s="31">
        <f ca="1">SUM(B142:B144)</f>
        <v>48538.663816660235</v>
      </c>
      <c r="C145" s="31">
        <f>SUM(C142:C144)</f>
        <v>0</v>
      </c>
      <c r="D145" s="31">
        <f ca="1">SUM(D142:D144)</f>
        <v>48538.663816660235</v>
      </c>
      <c r="E145" s="31">
        <f ca="1">SUM(E142:E144)</f>
        <v>-242.64582469008397</v>
      </c>
      <c r="F145" s="31">
        <f ca="1">SUM(F142:F144)</f>
        <v>72.25372014677103</v>
      </c>
      <c r="H145" s="31">
        <f t="shared" ref="H145" ca="1" si="5">SUM(H142:H144)</f>
        <v>48314.750437934134</v>
      </c>
      <c r="M145" s="18"/>
    </row>
    <row r="146" spans="1:13" x14ac:dyDescent="0.25">
      <c r="B146" s="11"/>
      <c r="D146" s="48"/>
      <c r="E146" s="53"/>
      <c r="F146" s="49"/>
      <c r="M146" s="18"/>
    </row>
    <row r="147" spans="1:13" x14ac:dyDescent="0.25">
      <c r="B147" s="258" t="s">
        <v>78</v>
      </c>
      <c r="C147" s="258"/>
      <c r="D147" s="258"/>
      <c r="E147" s="258"/>
      <c r="F147" s="258"/>
      <c r="G147" s="258"/>
      <c r="H147" s="258"/>
      <c r="M147" s="18"/>
    </row>
    <row r="148" spans="1:13" x14ac:dyDescent="0.25">
      <c r="A148" s="7" t="s">
        <v>26</v>
      </c>
      <c r="B148" s="8" t="s">
        <v>27</v>
      </c>
      <c r="C148" s="8" t="s">
        <v>28</v>
      </c>
      <c r="D148" s="8" t="s">
        <v>29</v>
      </c>
      <c r="E148" s="8" t="s">
        <v>30</v>
      </c>
      <c r="F148" s="8" t="s">
        <v>31</v>
      </c>
      <c r="G148" s="8" t="s">
        <v>32</v>
      </c>
      <c r="H148" s="8" t="s">
        <v>33</v>
      </c>
      <c r="M148" s="18"/>
    </row>
    <row r="149" spans="1:13" x14ac:dyDescent="0.25">
      <c r="A149" t="s">
        <v>125</v>
      </c>
      <c r="B149" s="17">
        <f ca="1">B$71</f>
        <v>5.3200994096687052E-3</v>
      </c>
      <c r="C149" s="17">
        <f t="shared" ref="C149:H150" ca="1" si="6">C$71</f>
        <v>8.0123478924676764E-2</v>
      </c>
      <c r="D149" s="17">
        <f t="shared" ca="1" si="6"/>
        <v>9.493504741808817E-2</v>
      </c>
      <c r="E149" s="17">
        <f t="shared" ca="1" si="6"/>
        <v>1.7487382406140485E-3</v>
      </c>
      <c r="F149" s="17">
        <f t="shared" ca="1" si="6"/>
        <v>1.7487382406140485E-3</v>
      </c>
      <c r="G149" s="17">
        <f t="shared" ca="1" si="6"/>
        <v>1.8278185997418279E-4</v>
      </c>
      <c r="H149" s="17">
        <f t="shared" ca="1" si="6"/>
        <v>3.3416317053372659E-3</v>
      </c>
      <c r="M149" s="18"/>
    </row>
    <row r="150" spans="1:13" x14ac:dyDescent="0.25">
      <c r="A150" t="s">
        <v>126</v>
      </c>
      <c r="B150" s="17">
        <f ca="1">B$71</f>
        <v>5.3200994096687052E-3</v>
      </c>
      <c r="C150" s="17">
        <f t="shared" ca="1" si="6"/>
        <v>8.0123478924676764E-2</v>
      </c>
      <c r="D150" s="17">
        <f t="shared" ca="1" si="6"/>
        <v>9.493504741808817E-2</v>
      </c>
      <c r="E150" s="17">
        <f t="shared" ca="1" si="6"/>
        <v>1.7487382406140485E-3</v>
      </c>
      <c r="F150" s="17">
        <f t="shared" ca="1" si="6"/>
        <v>1.7487382406140485E-3</v>
      </c>
      <c r="G150" s="17">
        <f t="shared" ca="1" si="6"/>
        <v>1.8278185997418279E-4</v>
      </c>
      <c r="H150" s="17">
        <f t="shared" ca="1" si="6"/>
        <v>3.3416317053372659E-3</v>
      </c>
      <c r="M150" s="18"/>
    </row>
    <row r="151" spans="1:13" x14ac:dyDescent="0.25">
      <c r="A151" s="7" t="s">
        <v>76</v>
      </c>
      <c r="B151" s="32">
        <f t="shared" ref="B151:H151" ca="1" si="7">B25</f>
        <v>2.4700058774430449</v>
      </c>
      <c r="C151" s="32">
        <f t="shared" ca="1" si="7"/>
        <v>0.11993029956094396</v>
      </c>
      <c r="D151" s="32">
        <f t="shared" ca="1" si="7"/>
        <v>2.4515412783819392E-2</v>
      </c>
      <c r="E151" s="32">
        <f t="shared" ca="1" si="7"/>
        <v>0.68408101103637164</v>
      </c>
      <c r="F151" s="32">
        <f t="shared" ca="1" si="7"/>
        <v>0.68408101103637164</v>
      </c>
      <c r="G151" s="32">
        <f t="shared" ca="1" si="7"/>
        <v>2.5750216574577989E-2</v>
      </c>
      <c r="H151" s="32">
        <f t="shared" ca="1" si="7"/>
        <v>7.3628975902509124</v>
      </c>
      <c r="M151" s="18"/>
    </row>
    <row r="152" spans="1:13" x14ac:dyDescent="0.25">
      <c r="B152" s="11"/>
      <c r="D152" s="48"/>
      <c r="E152" s="53"/>
      <c r="F152" s="49"/>
      <c r="M152" s="18"/>
    </row>
    <row r="153" spans="1:13" x14ac:dyDescent="0.25">
      <c r="B153" s="257" t="str">
        <f>$B$4&amp;" #1 Emissions by Fuel Type (tons/episode day), with EC Adjustment"</f>
        <v>2021 #1 Emissions by Fuel Type (tons/episode day), with EC Adjustment</v>
      </c>
      <c r="C153" s="257"/>
      <c r="D153" s="257"/>
      <c r="E153" s="257"/>
      <c r="F153" s="257"/>
      <c r="G153" s="257"/>
      <c r="H153" s="257"/>
    </row>
    <row r="154" spans="1:13" x14ac:dyDescent="0.25">
      <c r="A154" s="7" t="s">
        <v>81</v>
      </c>
      <c r="B154" s="8" t="s">
        <v>27</v>
      </c>
      <c r="C154" s="8" t="s">
        <v>28</v>
      </c>
      <c r="D154" s="34" t="s">
        <v>29</v>
      </c>
      <c r="E154" s="8" t="s">
        <v>30</v>
      </c>
      <c r="F154" s="35" t="s">
        <v>31</v>
      </c>
      <c r="G154" s="8" t="s">
        <v>32</v>
      </c>
      <c r="H154" s="8" t="s">
        <v>33</v>
      </c>
    </row>
    <row r="155" spans="1:13" x14ac:dyDescent="0.25">
      <c r="A155" t="s">
        <v>125</v>
      </c>
      <c r="B155" s="36">
        <f t="shared" ref="B155:H157" ca="1" si="8">B149*$H142/2000</f>
        <v>8.2479096580891434E-2</v>
      </c>
      <c r="C155" s="36">
        <f t="shared" ca="1" si="8"/>
        <v>1.2421783218214266</v>
      </c>
      <c r="D155" s="37">
        <f t="shared" ca="1" si="8"/>
        <v>1.4718065099831668</v>
      </c>
      <c r="E155" s="36">
        <f t="shared" ca="1" si="8"/>
        <v>2.7111213369467112E-2</v>
      </c>
      <c r="F155" s="38">
        <f t="shared" ca="1" si="8"/>
        <v>2.7111213369467112E-2</v>
      </c>
      <c r="G155" s="36">
        <f t="shared" ca="1" si="8"/>
        <v>2.8337219892258358E-3</v>
      </c>
      <c r="H155" s="36">
        <f t="shared" ca="1" si="8"/>
        <v>5.1806318442354914E-2</v>
      </c>
    </row>
    <row r="156" spans="1:13" x14ac:dyDescent="0.25">
      <c r="A156" t="s">
        <v>126</v>
      </c>
      <c r="B156" s="33">
        <f t="shared" ca="1" si="8"/>
        <v>2.7364643951909802E-2</v>
      </c>
      <c r="C156" s="33">
        <f t="shared" ca="1" si="8"/>
        <v>0.41212584655418372</v>
      </c>
      <c r="D156" s="39">
        <f t="shared" ca="1" si="8"/>
        <v>0.48831113314016655</v>
      </c>
      <c r="E156" s="33">
        <f t="shared" ca="1" si="8"/>
        <v>8.9948693876892357E-3</v>
      </c>
      <c r="F156" s="40">
        <f t="shared" ca="1" si="8"/>
        <v>8.9948693876892357E-3</v>
      </c>
      <c r="G156" s="33">
        <f t="shared" ca="1" si="8"/>
        <v>9.401629807840032E-4</v>
      </c>
      <c r="H156" s="33">
        <f t="shared" ca="1" si="8"/>
        <v>1.7188130294855105E-2</v>
      </c>
    </row>
    <row r="157" spans="1:13" x14ac:dyDescent="0.25">
      <c r="A157" s="7" t="s">
        <v>76</v>
      </c>
      <c r="B157" s="41">
        <f t="shared" ca="1" si="8"/>
        <v>8.6708108388632841</v>
      </c>
      <c r="C157" s="41">
        <f t="shared" ca="1" si="8"/>
        <v>0.4210082861898502</v>
      </c>
      <c r="D157" s="42">
        <f t="shared" ca="1" si="8"/>
        <v>8.6059919462701875E-2</v>
      </c>
      <c r="E157" s="41">
        <f t="shared" ca="1" si="8"/>
        <v>2.4014262878172037</v>
      </c>
      <c r="F157" s="43">
        <f t="shared" ca="1" si="8"/>
        <v>2.4014262878172037</v>
      </c>
      <c r="G157" s="41">
        <f t="shared" ca="1" si="8"/>
        <v>9.03946257848839E-2</v>
      </c>
      <c r="H157" s="41">
        <f t="shared" ca="1" si="8"/>
        <v>25.847020371092249</v>
      </c>
    </row>
    <row r="158" spans="1:13" x14ac:dyDescent="0.25">
      <c r="A158" s="2" t="s">
        <v>77</v>
      </c>
      <c r="B158" s="44">
        <f ca="1">SUM(B155:B157)</f>
        <v>8.7806545793960851</v>
      </c>
      <c r="C158" s="44">
        <f t="shared" ref="C158:H158" ca="1" si="9">SUM(C155:C157)</f>
        <v>2.0753124545654607</v>
      </c>
      <c r="D158" s="45">
        <f t="shared" ca="1" si="9"/>
        <v>2.0461775625860352</v>
      </c>
      <c r="E158" s="44">
        <f t="shared" ca="1" si="9"/>
        <v>2.4375323705743601</v>
      </c>
      <c r="F158" s="46">
        <f t="shared" ca="1" si="9"/>
        <v>2.4375323705743601</v>
      </c>
      <c r="G158" s="44">
        <f t="shared" ca="1" si="9"/>
        <v>9.4168510754893742E-2</v>
      </c>
      <c r="H158" s="44">
        <f t="shared" ca="1" si="9"/>
        <v>25.91601481982946</v>
      </c>
    </row>
    <row r="159" spans="1:13" x14ac:dyDescent="0.25">
      <c r="B159" s="11"/>
      <c r="D159" s="48"/>
      <c r="E159" s="53"/>
      <c r="F159" s="49"/>
      <c r="M159" s="18"/>
    </row>
    <row r="160" spans="1:13" ht="15.75" thickBot="1" x14ac:dyDescent="0.3">
      <c r="M160" s="18"/>
    </row>
    <row r="161" spans="1:15" ht="16.5" thickBot="1" x14ac:dyDescent="0.3">
      <c r="A161" s="61" t="s">
        <v>127</v>
      </c>
      <c r="B161" s="62"/>
      <c r="C161" s="63"/>
      <c r="M161" s="18"/>
    </row>
    <row r="162" spans="1:15" ht="15.75" x14ac:dyDescent="0.25">
      <c r="A162" s="64"/>
    </row>
    <row r="163" spans="1:15" ht="15.75" x14ac:dyDescent="0.25">
      <c r="A163" s="64"/>
      <c r="B163" s="257" t="s">
        <v>331</v>
      </c>
      <c r="C163" s="257"/>
      <c r="D163" s="257"/>
      <c r="E163" s="257"/>
      <c r="F163" s="257"/>
      <c r="G163" s="257"/>
      <c r="H163" s="257"/>
      <c r="I163" s="4" t="s">
        <v>128</v>
      </c>
    </row>
    <row r="164" spans="1:15" x14ac:dyDescent="0.25">
      <c r="A164" s="8" t="s">
        <v>129</v>
      </c>
      <c r="B164" s="8" t="s">
        <v>27</v>
      </c>
      <c r="C164" s="8" t="s">
        <v>28</v>
      </c>
      <c r="D164" s="65" t="s">
        <v>29</v>
      </c>
      <c r="E164" s="8" t="s">
        <v>30</v>
      </c>
      <c r="F164" s="66" t="s">
        <v>31</v>
      </c>
      <c r="G164" s="8" t="s">
        <v>32</v>
      </c>
      <c r="H164" s="8" t="s">
        <v>33</v>
      </c>
      <c r="I164" s="8" t="s">
        <v>130</v>
      </c>
    </row>
    <row r="165" spans="1:15" x14ac:dyDescent="0.25">
      <c r="A165" s="4">
        <f>$B$4+I165-1</f>
        <v>2021</v>
      </c>
      <c r="B165" s="67">
        <f ca="1">(B$102-B$158)*$I165</f>
        <v>-8.9337228000688995E-2</v>
      </c>
      <c r="C165" s="67">
        <f t="shared" ref="C165:H165" ca="1" si="10">(C$102-C$158)*$I165</f>
        <v>0.32155724960664012</v>
      </c>
      <c r="D165" s="68">
        <f t="shared" ca="1" si="10"/>
        <v>1.8823015883334828</v>
      </c>
      <c r="E165" s="67">
        <f t="shared" ca="1" si="10"/>
        <v>9.4121916297118524E-3</v>
      </c>
      <c r="F165" s="69">
        <f t="shared" ca="1" si="10"/>
        <v>9.4121916297118524E-3</v>
      </c>
      <c r="G165" s="67">
        <f t="shared" ca="1" si="10"/>
        <v>-9.3383628991705603E-4</v>
      </c>
      <c r="H165" s="67">
        <f t="shared" ca="1" si="10"/>
        <v>-0.26606348841797356</v>
      </c>
      <c r="I165" s="4">
        <v>1</v>
      </c>
      <c r="K165" s="18" t="s">
        <v>131</v>
      </c>
    </row>
    <row r="166" spans="1:15" x14ac:dyDescent="0.25">
      <c r="A166" s="4">
        <f t="shared" ref="A166:A171" si="11">$B$4+I166-1</f>
        <v>2022</v>
      </c>
      <c r="B166" s="67">
        <f t="shared" ref="B166:H171" ca="1" si="12">B165</f>
        <v>-8.9337228000688995E-2</v>
      </c>
      <c r="C166" s="67">
        <f t="shared" ca="1" si="12"/>
        <v>0.32155724960664012</v>
      </c>
      <c r="D166" s="68">
        <f t="shared" ca="1" si="12"/>
        <v>1.8823015883334828</v>
      </c>
      <c r="E166" s="67">
        <f t="shared" ca="1" si="12"/>
        <v>9.4121916297118524E-3</v>
      </c>
      <c r="F166" s="69">
        <f t="shared" ca="1" si="12"/>
        <v>9.4121916297118524E-3</v>
      </c>
      <c r="G166" s="67">
        <f t="shared" ca="1" si="12"/>
        <v>-9.3383628991705603E-4</v>
      </c>
      <c r="H166" s="67">
        <f t="shared" ca="1" si="12"/>
        <v>-0.26606348841797356</v>
      </c>
      <c r="I166" s="4">
        <v>2</v>
      </c>
      <c r="O166" s="18"/>
    </row>
    <row r="167" spans="1:15" x14ac:dyDescent="0.25">
      <c r="A167" s="4">
        <f t="shared" si="11"/>
        <v>2023</v>
      </c>
      <c r="B167" s="67">
        <f t="shared" ca="1" si="12"/>
        <v>-8.9337228000688995E-2</v>
      </c>
      <c r="C167" s="67">
        <f t="shared" ca="1" si="12"/>
        <v>0.32155724960664012</v>
      </c>
      <c r="D167" s="68">
        <f t="shared" ca="1" si="12"/>
        <v>1.8823015883334828</v>
      </c>
      <c r="E167" s="67">
        <f t="shared" ca="1" si="12"/>
        <v>9.4121916297118524E-3</v>
      </c>
      <c r="F167" s="69">
        <f t="shared" ca="1" si="12"/>
        <v>9.4121916297118524E-3</v>
      </c>
      <c r="G167" s="67">
        <f t="shared" ca="1" si="12"/>
        <v>-9.3383628991705603E-4</v>
      </c>
      <c r="H167" s="67">
        <f t="shared" ca="1" si="12"/>
        <v>-0.26606348841797356</v>
      </c>
      <c r="I167" s="4">
        <v>3</v>
      </c>
      <c r="O167" s="18"/>
    </row>
    <row r="168" spans="1:15" x14ac:dyDescent="0.25">
      <c r="A168" s="4">
        <f t="shared" si="11"/>
        <v>2024</v>
      </c>
      <c r="B168" s="67">
        <f t="shared" ca="1" si="12"/>
        <v>-8.9337228000688995E-2</v>
      </c>
      <c r="C168" s="67">
        <f t="shared" ca="1" si="12"/>
        <v>0.32155724960664012</v>
      </c>
      <c r="D168" s="68">
        <f t="shared" ca="1" si="12"/>
        <v>1.8823015883334828</v>
      </c>
      <c r="E168" s="67">
        <f t="shared" ca="1" si="12"/>
        <v>9.4121916297118524E-3</v>
      </c>
      <c r="F168" s="69">
        <f t="shared" ca="1" si="12"/>
        <v>9.4121916297118524E-3</v>
      </c>
      <c r="G168" s="67">
        <f t="shared" ca="1" si="12"/>
        <v>-9.3383628991705603E-4</v>
      </c>
      <c r="H168" s="67">
        <f t="shared" ca="1" si="12"/>
        <v>-0.26606348841797356</v>
      </c>
      <c r="I168" s="4">
        <v>4</v>
      </c>
      <c r="O168" s="18"/>
    </row>
    <row r="169" spans="1:15" x14ac:dyDescent="0.25">
      <c r="A169" s="4">
        <f t="shared" si="11"/>
        <v>2025</v>
      </c>
      <c r="B169" s="67">
        <f t="shared" ca="1" si="12"/>
        <v>-8.9337228000688995E-2</v>
      </c>
      <c r="C169" s="67">
        <f t="shared" ca="1" si="12"/>
        <v>0.32155724960664012</v>
      </c>
      <c r="D169" s="68">
        <f t="shared" ca="1" si="12"/>
        <v>1.8823015883334828</v>
      </c>
      <c r="E169" s="67">
        <f t="shared" ca="1" si="12"/>
        <v>9.4121916297118524E-3</v>
      </c>
      <c r="F169" s="69">
        <f t="shared" ca="1" si="12"/>
        <v>9.4121916297118524E-3</v>
      </c>
      <c r="G169" s="67">
        <f t="shared" ca="1" si="12"/>
        <v>-9.3383628991705603E-4</v>
      </c>
      <c r="H169" s="67">
        <f t="shared" ca="1" si="12"/>
        <v>-0.26606348841797356</v>
      </c>
      <c r="I169" s="4">
        <v>5</v>
      </c>
    </row>
    <row r="170" spans="1:15" x14ac:dyDescent="0.25">
      <c r="A170" s="4">
        <f t="shared" si="11"/>
        <v>2026</v>
      </c>
      <c r="B170" s="67">
        <f t="shared" ca="1" si="12"/>
        <v>-8.9337228000688995E-2</v>
      </c>
      <c r="C170" s="67">
        <f t="shared" ca="1" si="12"/>
        <v>0.32155724960664012</v>
      </c>
      <c r="D170" s="68">
        <f t="shared" ca="1" si="12"/>
        <v>1.8823015883334828</v>
      </c>
      <c r="E170" s="67">
        <f t="shared" ca="1" si="12"/>
        <v>9.4121916297118524E-3</v>
      </c>
      <c r="F170" s="69">
        <f t="shared" ca="1" si="12"/>
        <v>9.4121916297118524E-3</v>
      </c>
      <c r="G170" s="67">
        <f t="shared" ca="1" si="12"/>
        <v>-9.3383628991705603E-4</v>
      </c>
      <c r="H170" s="67">
        <f t="shared" ca="1" si="12"/>
        <v>-0.26606348841797356</v>
      </c>
      <c r="I170" s="4">
        <v>6</v>
      </c>
    </row>
    <row r="171" spans="1:15" x14ac:dyDescent="0.25">
      <c r="A171" s="4">
        <f t="shared" si="11"/>
        <v>2027</v>
      </c>
      <c r="B171" s="67">
        <f t="shared" ca="1" si="12"/>
        <v>-8.9337228000688995E-2</v>
      </c>
      <c r="C171" s="67">
        <f t="shared" ca="1" si="12"/>
        <v>0.32155724960664012</v>
      </c>
      <c r="D171" s="68">
        <f t="shared" ca="1" si="12"/>
        <v>1.8823015883334828</v>
      </c>
      <c r="E171" s="67">
        <f t="shared" ca="1" si="12"/>
        <v>9.4121916297118524E-3</v>
      </c>
      <c r="F171" s="69">
        <f t="shared" ca="1" si="12"/>
        <v>9.4121916297118524E-3</v>
      </c>
      <c r="G171" s="67">
        <f t="shared" ca="1" si="12"/>
        <v>-9.3383628991705603E-4</v>
      </c>
      <c r="H171" s="67">
        <f t="shared" ca="1" si="12"/>
        <v>-0.26606348841797356</v>
      </c>
      <c r="I171" s="4">
        <v>7</v>
      </c>
    </row>
  </sheetData>
  <mergeCells count="27">
    <mergeCell ref="B147:H147"/>
    <mergeCell ref="B153:H153"/>
    <mergeCell ref="B163:H163"/>
    <mergeCell ref="B120:H120"/>
    <mergeCell ref="B129:H129"/>
    <mergeCell ref="B130:H130"/>
    <mergeCell ref="D132:E132"/>
    <mergeCell ref="B137:G137"/>
    <mergeCell ref="B138:G138"/>
    <mergeCell ref="B114:H114"/>
    <mergeCell ref="A27:H27"/>
    <mergeCell ref="A37:G37"/>
    <mergeCell ref="A63:H63"/>
    <mergeCell ref="B69:H69"/>
    <mergeCell ref="A74:C74"/>
    <mergeCell ref="B82:F82"/>
    <mergeCell ref="B83:F83"/>
    <mergeCell ref="D86:D87"/>
    <mergeCell ref="B91:H91"/>
    <mergeCell ref="B97:H97"/>
    <mergeCell ref="A105:C105"/>
    <mergeCell ref="B21:H21"/>
    <mergeCell ref="A1:I1"/>
    <mergeCell ref="A6:H6"/>
    <mergeCell ref="B15:C15"/>
    <mergeCell ref="F15:G15"/>
    <mergeCell ref="F16:G16"/>
  </mergeCells>
  <printOptions horizontalCentered="1"/>
  <pageMargins left="0.7" right="0.7" top="0.75" bottom="0.75" header="0.3" footer="0.3"/>
  <pageSetup scale="87" fitToHeight="5" orientation="portrait" r:id="rId1"/>
  <rowBreaks count="1" manualBreakCount="1">
    <brk id="10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/>
  </sheetViews>
  <sheetFormatPr defaultRowHeight="15" x14ac:dyDescent="0.25"/>
  <cols>
    <col min="1" max="1" width="22.5703125" customWidth="1"/>
  </cols>
  <sheetData>
    <row r="1" spans="1:16" x14ac:dyDescent="0.25">
      <c r="A1" s="140"/>
      <c r="B1" s="268" t="s">
        <v>332</v>
      </c>
      <c r="C1" s="268"/>
      <c r="D1" s="268"/>
      <c r="E1" s="268"/>
      <c r="F1" s="268"/>
      <c r="G1" s="268" t="s">
        <v>333</v>
      </c>
      <c r="H1" s="268"/>
      <c r="I1" s="268"/>
      <c r="J1" s="268"/>
      <c r="K1" s="268"/>
      <c r="L1" s="268" t="s">
        <v>334</v>
      </c>
      <c r="M1" s="268"/>
      <c r="N1" s="268"/>
      <c r="O1" s="268"/>
      <c r="P1" s="268"/>
    </row>
    <row r="2" spans="1:16" x14ac:dyDescent="0.25">
      <c r="A2" s="141" t="s">
        <v>335</v>
      </c>
      <c r="B2" s="142" t="s">
        <v>50</v>
      </c>
      <c r="C2" s="142" t="s">
        <v>336</v>
      </c>
      <c r="D2" s="142" t="s">
        <v>29</v>
      </c>
      <c r="E2" s="142" t="s">
        <v>27</v>
      </c>
      <c r="F2" s="143" t="s">
        <v>32</v>
      </c>
      <c r="G2" s="142" t="s">
        <v>50</v>
      </c>
      <c r="H2" s="142" t="s">
        <v>336</v>
      </c>
      <c r="I2" s="142" t="s">
        <v>29</v>
      </c>
      <c r="J2" s="142" t="s">
        <v>27</v>
      </c>
      <c r="K2" s="143" t="s">
        <v>32</v>
      </c>
      <c r="L2" s="142" t="s">
        <v>50</v>
      </c>
      <c r="M2" s="142" t="s">
        <v>336</v>
      </c>
      <c r="N2" s="142" t="s">
        <v>29</v>
      </c>
      <c r="O2" s="142" t="s">
        <v>27</v>
      </c>
      <c r="P2" s="143" t="s">
        <v>32</v>
      </c>
    </row>
    <row r="3" spans="1:16" x14ac:dyDescent="0.25">
      <c r="A3" s="144" t="s">
        <v>337</v>
      </c>
      <c r="B3" s="145">
        <v>0.84236571428571394</v>
      </c>
      <c r="C3" s="145">
        <v>10.757522857142858</v>
      </c>
      <c r="D3" s="145">
        <v>7.3194485714285671</v>
      </c>
      <c r="E3" s="145">
        <v>8.8914285714285696E-2</v>
      </c>
      <c r="F3" s="146">
        <v>1.973714285714288E-2</v>
      </c>
      <c r="G3" s="147">
        <f t="shared" ref="G3:K11" si="0">B3/B$31</f>
        <v>0.23631404339974554</v>
      </c>
      <c r="H3" s="148">
        <f t="shared" si="0"/>
        <v>0.64388511169601181</v>
      </c>
      <c r="I3" s="148">
        <f t="shared" si="0"/>
        <v>0.32706279568091368</v>
      </c>
      <c r="J3" s="148">
        <f t="shared" si="0"/>
        <v>5.932117322750576E-3</v>
      </c>
      <c r="K3" s="149">
        <f t="shared" si="0"/>
        <v>7.9313868445526362E-2</v>
      </c>
      <c r="L3" s="150">
        <v>0</v>
      </c>
      <c r="M3" s="151">
        <v>0</v>
      </c>
      <c r="N3" s="151">
        <v>0</v>
      </c>
      <c r="O3" s="151">
        <v>0</v>
      </c>
      <c r="P3" s="152">
        <v>0</v>
      </c>
    </row>
    <row r="4" spans="1:16" x14ac:dyDescent="0.25">
      <c r="A4" s="144" t="s">
        <v>338</v>
      </c>
      <c r="B4" s="145">
        <v>2.4110999999999998</v>
      </c>
      <c r="C4" s="145">
        <v>2.6215999999999999</v>
      </c>
      <c r="D4" s="145">
        <v>4.1733000000000002</v>
      </c>
      <c r="E4" s="145">
        <v>9.5777000000000001</v>
      </c>
      <c r="F4" s="146">
        <v>0.1449</v>
      </c>
      <c r="G4" s="148">
        <f t="shared" si="0"/>
        <v>0.67640073708872406</v>
      </c>
      <c r="H4" s="148">
        <f t="shared" si="0"/>
        <v>0.15691430371458129</v>
      </c>
      <c r="I4" s="148">
        <f t="shared" si="0"/>
        <v>0.18648005404985829</v>
      </c>
      <c r="J4" s="148">
        <f t="shared" si="0"/>
        <v>0.63899788010083136</v>
      </c>
      <c r="K4" s="149">
        <f t="shared" si="0"/>
        <v>0.58228182371379045</v>
      </c>
      <c r="L4" s="151">
        <v>-5.2612966601178868E-2</v>
      </c>
      <c r="M4" s="151">
        <v>0</v>
      </c>
      <c r="N4" s="151">
        <v>4.3076478798671491E-3</v>
      </c>
      <c r="O4" s="151">
        <v>0</v>
      </c>
      <c r="P4" s="152">
        <v>0</v>
      </c>
    </row>
    <row r="5" spans="1:16" x14ac:dyDescent="0.25">
      <c r="A5" s="153" t="s">
        <v>339</v>
      </c>
      <c r="B5" s="145">
        <v>2.2395</v>
      </c>
      <c r="C5" s="145">
        <v>0.44879999999999992</v>
      </c>
      <c r="D5" s="145">
        <v>0.15509999999999999</v>
      </c>
      <c r="E5" s="145">
        <v>9.3352000000000004</v>
      </c>
      <c r="F5" s="146">
        <v>9.64E-2</v>
      </c>
      <c r="G5" s="148">
        <f t="shared" si="0"/>
        <v>0.6282607319108281</v>
      </c>
      <c r="H5" s="148">
        <f t="shared" si="0"/>
        <v>2.6862656205029017E-2</v>
      </c>
      <c r="I5" s="148">
        <f t="shared" si="0"/>
        <v>6.9305001756722537E-3</v>
      </c>
      <c r="J5" s="148">
        <f t="shared" si="0"/>
        <v>0.62281894508256486</v>
      </c>
      <c r="K5" s="149">
        <f t="shared" si="0"/>
        <v>0.38738418085582749</v>
      </c>
      <c r="L5" s="151">
        <v>-5.4983542915013728E-2</v>
      </c>
      <c r="M5" s="151">
        <v>0</v>
      </c>
      <c r="N5" s="151">
        <v>0.16092814371257469</v>
      </c>
      <c r="O5" s="151">
        <v>0</v>
      </c>
      <c r="P5" s="152">
        <v>0</v>
      </c>
    </row>
    <row r="6" spans="1:16" x14ac:dyDescent="0.25">
      <c r="A6" s="153" t="s">
        <v>340</v>
      </c>
      <c r="B6" s="145">
        <v>7.0000000000000007E-2</v>
      </c>
      <c r="C6" s="145">
        <v>1.9463999999999999</v>
      </c>
      <c r="D6" s="145">
        <v>3.8954</v>
      </c>
      <c r="E6" s="145">
        <v>0.10929999999999998</v>
      </c>
      <c r="F6" s="146">
        <v>3.6999999999999997E-3</v>
      </c>
      <c r="G6" s="148">
        <f t="shared" si="0"/>
        <v>1.963753124972448E-2</v>
      </c>
      <c r="H6" s="148">
        <f t="shared" si="0"/>
        <v>0.11650061060041997</v>
      </c>
      <c r="I6" s="148">
        <f t="shared" si="0"/>
        <v>0.17406234935082979</v>
      </c>
      <c r="J6" s="148">
        <f t="shared" si="0"/>
        <v>7.2921962783362238E-3</v>
      </c>
      <c r="K6" s="149">
        <f t="shared" si="0"/>
        <v>1.4868479970607485E-2</v>
      </c>
      <c r="L6" s="151">
        <v>0</v>
      </c>
      <c r="M6" s="151">
        <v>0</v>
      </c>
      <c r="N6" s="151">
        <v>0</v>
      </c>
      <c r="O6" s="151">
        <v>0</v>
      </c>
      <c r="P6" s="152">
        <v>0</v>
      </c>
    </row>
    <row r="7" spans="1:16" x14ac:dyDescent="0.25">
      <c r="A7" s="153" t="s">
        <v>341</v>
      </c>
      <c r="B7" s="145">
        <v>8.8500000000000009E-2</v>
      </c>
      <c r="C7" s="145">
        <v>5.8900000000000001E-2</v>
      </c>
      <c r="D7" s="145">
        <v>0.1055</v>
      </c>
      <c r="E7" s="145">
        <v>0.12480000000000001</v>
      </c>
      <c r="F7" s="146">
        <v>1.5800000000000002E-2</v>
      </c>
      <c r="G7" s="148">
        <f t="shared" si="0"/>
        <v>2.4827450222865949E-2</v>
      </c>
      <c r="H7" s="148">
        <f t="shared" si="0"/>
        <v>3.5254243548935144E-3</v>
      </c>
      <c r="I7" s="148">
        <f t="shared" si="0"/>
        <v>4.7141700098866715E-3</v>
      </c>
      <c r="J7" s="148">
        <f t="shared" si="0"/>
        <v>8.3263137743491405E-3</v>
      </c>
      <c r="K7" s="149">
        <f t="shared" si="0"/>
        <v>6.3492427982594135E-2</v>
      </c>
      <c r="L7" s="151">
        <v>-4.1170097508125503E-2</v>
      </c>
      <c r="M7" s="151">
        <v>0</v>
      </c>
      <c r="N7" s="151">
        <v>-3.2110091743119296E-2</v>
      </c>
      <c r="O7" s="151">
        <v>0</v>
      </c>
      <c r="P7" s="152">
        <v>0</v>
      </c>
    </row>
    <row r="8" spans="1:16" x14ac:dyDescent="0.25">
      <c r="A8" s="153" t="s">
        <v>342</v>
      </c>
      <c r="B8" s="145">
        <v>1.2999999999999998E-2</v>
      </c>
      <c r="C8" s="145">
        <v>0.16739999999999999</v>
      </c>
      <c r="D8" s="145">
        <v>1.7299999999999999E-2</v>
      </c>
      <c r="E8" s="145">
        <v>8.3999999999999995E-3</v>
      </c>
      <c r="F8" s="146">
        <v>2.8899999999999999E-2</v>
      </c>
      <c r="G8" s="148">
        <f t="shared" si="0"/>
        <v>3.6469700892345449E-3</v>
      </c>
      <c r="H8" s="148">
        <f t="shared" si="0"/>
        <v>1.0019627113907883E-2</v>
      </c>
      <c r="I8" s="148">
        <f t="shared" si="0"/>
        <v>7.73034513469568E-4</v>
      </c>
      <c r="J8" s="148">
        <f t="shared" si="0"/>
        <v>5.6042496558119206E-4</v>
      </c>
      <c r="K8" s="149">
        <f t="shared" si="0"/>
        <v>0.11613488409474496</v>
      </c>
      <c r="L8" s="151">
        <v>-7.6335877862596657E-3</v>
      </c>
      <c r="M8" s="151">
        <v>0</v>
      </c>
      <c r="N8" s="151">
        <v>-5.7471264367815467E-3</v>
      </c>
      <c r="O8" s="151">
        <v>0</v>
      </c>
      <c r="P8" s="152">
        <v>0</v>
      </c>
    </row>
    <row r="9" spans="1:16" x14ac:dyDescent="0.25">
      <c r="A9" s="144" t="s">
        <v>343</v>
      </c>
      <c r="B9" s="145">
        <v>0.20849999999999999</v>
      </c>
      <c r="C9" s="145">
        <v>0.25109999999999999</v>
      </c>
      <c r="D9" s="145">
        <v>1.6400000000000001E-2</v>
      </c>
      <c r="E9" s="145">
        <v>2.4428999999999998</v>
      </c>
      <c r="F9" s="146">
        <v>4.9599999999999998E-2</v>
      </c>
      <c r="G9" s="148">
        <f t="shared" si="0"/>
        <v>5.8491789508107905E-2</v>
      </c>
      <c r="H9" s="148">
        <f t="shared" si="0"/>
        <v>1.5029440670861824E-2</v>
      </c>
      <c r="I9" s="148">
        <f t="shared" si="0"/>
        <v>7.3281884513878121E-4</v>
      </c>
      <c r="J9" s="148">
        <f t="shared" si="0"/>
        <v>0.16298358909741595</v>
      </c>
      <c r="K9" s="149">
        <f t="shared" si="0"/>
        <v>0.1993180017681436</v>
      </c>
      <c r="L9" s="151">
        <v>0</v>
      </c>
      <c r="M9" s="151">
        <v>0</v>
      </c>
      <c r="N9" s="151">
        <v>0</v>
      </c>
      <c r="O9" s="151">
        <v>0</v>
      </c>
      <c r="P9" s="152">
        <v>0</v>
      </c>
    </row>
    <row r="10" spans="1:16" x14ac:dyDescent="0.25">
      <c r="A10" s="144" t="s">
        <v>344</v>
      </c>
      <c r="B10" s="145">
        <v>0.16649714285714284</v>
      </c>
      <c r="C10" s="145">
        <v>2.6154828571428599</v>
      </c>
      <c r="D10" s="145">
        <v>4.6314285714285745E-2</v>
      </c>
      <c r="E10" s="145">
        <v>3.9068748214285711</v>
      </c>
      <c r="F10" s="146">
        <v>5.9742857142857188E-2</v>
      </c>
      <c r="G10" s="148">
        <f t="shared" si="0"/>
        <v>4.6708469226385475E-2</v>
      </c>
      <c r="H10" s="148">
        <f t="shared" si="0"/>
        <v>0.15654816577891192</v>
      </c>
      <c r="I10" s="148">
        <f t="shared" si="0"/>
        <v>2.069511059181124E-3</v>
      </c>
      <c r="J10" s="148">
        <f t="shared" si="0"/>
        <v>0.2606559746820396</v>
      </c>
      <c r="K10" s="149">
        <f t="shared" si="0"/>
        <v>0.24007715535552338</v>
      </c>
      <c r="L10" s="151">
        <v>0</v>
      </c>
      <c r="M10" s="151">
        <v>0</v>
      </c>
      <c r="N10" s="151">
        <v>0</v>
      </c>
      <c r="O10" s="151">
        <v>0</v>
      </c>
      <c r="P10" s="152">
        <v>0</v>
      </c>
    </row>
    <row r="11" spans="1:16" x14ac:dyDescent="0.25">
      <c r="A11" s="154" t="s">
        <v>345</v>
      </c>
      <c r="B11" s="155">
        <v>0.50433714285714304</v>
      </c>
      <c r="C11" s="155">
        <v>2.39655142857143</v>
      </c>
      <c r="D11" s="155">
        <v>14.0388</v>
      </c>
      <c r="E11" s="155">
        <v>6.7167542857142903</v>
      </c>
      <c r="F11" s="156">
        <v>2.3E-3</v>
      </c>
      <c r="G11" s="157">
        <f t="shared" si="0"/>
        <v>0.14148480576077005</v>
      </c>
      <c r="H11" s="157">
        <f t="shared" si="0"/>
        <v>0.14344415575620653</v>
      </c>
      <c r="I11" s="157">
        <f t="shared" si="0"/>
        <v>0.62731080506916592</v>
      </c>
      <c r="J11" s="157">
        <f t="shared" si="0"/>
        <v>0.44812342730818516</v>
      </c>
      <c r="K11" s="158">
        <f t="shared" si="0"/>
        <v>9.2425686303776265E-3</v>
      </c>
      <c r="L11" s="159">
        <v>0</v>
      </c>
      <c r="M11" s="159">
        <v>0</v>
      </c>
      <c r="N11" s="159">
        <v>0</v>
      </c>
      <c r="O11" s="159">
        <v>0</v>
      </c>
      <c r="P11" s="160">
        <v>0</v>
      </c>
    </row>
    <row r="12" spans="1:16" x14ac:dyDescent="0.25">
      <c r="A12" s="161" t="s">
        <v>77</v>
      </c>
      <c r="B12" s="162">
        <v>4.1327999999999996</v>
      </c>
      <c r="C12" s="162">
        <v>18.642257142857147</v>
      </c>
      <c r="D12" s="162">
        <v>25.594262857142851</v>
      </c>
      <c r="E12" s="162">
        <v>22.733143392857148</v>
      </c>
      <c r="F12" s="163">
        <v>0.27628000000000008</v>
      </c>
      <c r="G12" s="164">
        <f>B12/B$12</f>
        <v>1</v>
      </c>
      <c r="H12" s="164">
        <f>C12/C$12</f>
        <v>1</v>
      </c>
      <c r="I12" s="164">
        <f>D12/D$12</f>
        <v>1</v>
      </c>
      <c r="J12" s="164">
        <f>E12/E$12</f>
        <v>1</v>
      </c>
      <c r="K12" s="165">
        <f>F12/F$12</f>
        <v>1</v>
      </c>
      <c r="L12" s="166">
        <v>-3.1382567323692934E-2</v>
      </c>
      <c r="M12" s="166">
        <v>0</v>
      </c>
      <c r="N12" s="166">
        <v>6.9986495343288269E-4</v>
      </c>
      <c r="O12" s="166">
        <v>0</v>
      </c>
      <c r="P12" s="167">
        <v>0</v>
      </c>
    </row>
    <row r="13" spans="1:16" x14ac:dyDescent="0.2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51"/>
      <c r="M13" s="151"/>
      <c r="N13" s="151"/>
      <c r="O13" s="151"/>
      <c r="P13" s="151"/>
    </row>
    <row r="14" spans="1:16" x14ac:dyDescent="0.2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51"/>
      <c r="M14" s="151"/>
      <c r="N14" s="151"/>
      <c r="O14" s="151"/>
      <c r="P14" s="151"/>
    </row>
    <row r="15" spans="1:16" x14ac:dyDescent="0.2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51"/>
      <c r="M15" s="151"/>
      <c r="N15" s="151"/>
      <c r="O15" s="151"/>
      <c r="P15" s="151"/>
    </row>
    <row r="16" spans="1:16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51"/>
      <c r="M16" s="151"/>
      <c r="N16" s="151"/>
      <c r="O16" s="151"/>
      <c r="P16" s="151"/>
    </row>
    <row r="17" spans="1:57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51"/>
      <c r="M17" s="151"/>
      <c r="N17" s="151"/>
      <c r="O17" s="151"/>
      <c r="P17" s="151"/>
    </row>
    <row r="18" spans="1:57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51"/>
      <c r="M18" s="151"/>
      <c r="N18" s="151"/>
      <c r="O18" s="151"/>
      <c r="P18" s="151"/>
    </row>
    <row r="19" spans="1:57" x14ac:dyDescent="0.25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51"/>
      <c r="M19" s="151"/>
      <c r="N19" s="151"/>
      <c r="O19" s="151"/>
      <c r="P19" s="151"/>
    </row>
    <row r="20" spans="1:57" x14ac:dyDescent="0.25">
      <c r="A20" s="140"/>
      <c r="B20" s="268" t="s">
        <v>346</v>
      </c>
      <c r="C20" s="268"/>
      <c r="D20" s="268"/>
      <c r="E20" s="268"/>
      <c r="F20" s="268"/>
      <c r="G20" s="268" t="s">
        <v>333</v>
      </c>
      <c r="H20" s="268"/>
      <c r="I20" s="268"/>
      <c r="J20" s="268"/>
      <c r="K20" s="268"/>
      <c r="L20" s="268" t="s">
        <v>334</v>
      </c>
      <c r="M20" s="268"/>
      <c r="N20" s="268"/>
      <c r="O20" s="268"/>
      <c r="P20" s="268"/>
      <c r="R20" s="262" t="s">
        <v>347</v>
      </c>
      <c r="S20" s="262"/>
      <c r="T20" s="262"/>
      <c r="U20" s="262"/>
      <c r="V20" s="262"/>
      <c r="W20" s="262"/>
      <c r="X20" s="262"/>
      <c r="Y20" s="262"/>
      <c r="Z20" s="262" t="s">
        <v>348</v>
      </c>
      <c r="AA20" s="262"/>
      <c r="AB20" s="262"/>
      <c r="AC20" s="262"/>
      <c r="AD20" s="262"/>
      <c r="AE20" s="262"/>
      <c r="AF20" s="262"/>
      <c r="AG20" s="262"/>
      <c r="AH20" s="262" t="s">
        <v>349</v>
      </c>
      <c r="AI20" s="262"/>
      <c r="AJ20" s="262"/>
      <c r="AK20" s="262"/>
      <c r="AL20" s="262"/>
      <c r="AM20" s="262"/>
      <c r="AN20" s="262"/>
      <c r="AO20" s="262"/>
      <c r="AP20" s="262" t="s">
        <v>350</v>
      </c>
      <c r="AQ20" s="262"/>
      <c r="AR20" s="262"/>
      <c r="AS20" s="262"/>
      <c r="AT20" s="262"/>
      <c r="AU20" s="262"/>
      <c r="AV20" s="262"/>
      <c r="AW20" s="262"/>
      <c r="AX20" s="262" t="s">
        <v>351</v>
      </c>
      <c r="AY20" s="262"/>
      <c r="AZ20" s="262"/>
      <c r="BA20" s="262"/>
      <c r="BB20" s="262"/>
      <c r="BC20" s="262"/>
      <c r="BD20" s="262"/>
      <c r="BE20" s="262"/>
    </row>
    <row r="21" spans="1:57" x14ac:dyDescent="0.25">
      <c r="A21" s="141" t="s">
        <v>335</v>
      </c>
      <c r="B21" s="142" t="s">
        <v>50</v>
      </c>
      <c r="C21" s="142" t="s">
        <v>336</v>
      </c>
      <c r="D21" s="142" t="s">
        <v>29</v>
      </c>
      <c r="E21" s="142" t="s">
        <v>27</v>
      </c>
      <c r="F21" s="143" t="s">
        <v>32</v>
      </c>
      <c r="G21" s="142" t="s">
        <v>50</v>
      </c>
      <c r="H21" s="142" t="s">
        <v>336</v>
      </c>
      <c r="I21" s="142" t="s">
        <v>29</v>
      </c>
      <c r="J21" s="142" t="s">
        <v>27</v>
      </c>
      <c r="K21" s="143" t="s">
        <v>32</v>
      </c>
      <c r="L21" s="168" t="s">
        <v>50</v>
      </c>
      <c r="M21" s="168" t="s">
        <v>336</v>
      </c>
      <c r="N21" s="168" t="s">
        <v>29</v>
      </c>
      <c r="O21" s="168" t="s">
        <v>27</v>
      </c>
      <c r="P21" s="169" t="s">
        <v>32</v>
      </c>
    </row>
    <row r="22" spans="1:57" x14ac:dyDescent="0.25">
      <c r="A22" s="144" t="s">
        <v>337</v>
      </c>
      <c r="B22" s="145">
        <v>0.83392571428571405</v>
      </c>
      <c r="C22" s="145">
        <v>10.634117142857148</v>
      </c>
      <c r="D22" s="145">
        <v>7.130031428571427</v>
      </c>
      <c r="E22" s="145">
        <v>8.7751428571428605E-2</v>
      </c>
      <c r="F22" s="146">
        <v>1.9720000000000022E-2</v>
      </c>
      <c r="G22" s="147">
        <f t="shared" ref="G22:K31" si="1">B22/B$31</f>
        <v>0.23394631820335021</v>
      </c>
      <c r="H22" s="148">
        <f t="shared" si="1"/>
        <v>0.63649873630253351</v>
      </c>
      <c r="I22" s="148">
        <f t="shared" si="1"/>
        <v>0.31859886568834922</v>
      </c>
      <c r="J22" s="148">
        <f t="shared" si="1"/>
        <v>5.8545346829575367E-3</v>
      </c>
      <c r="K22" s="149">
        <f t="shared" si="1"/>
        <v>7.9244979735237822E-2</v>
      </c>
      <c r="L22" s="150">
        <v>0</v>
      </c>
      <c r="M22" s="151">
        <v>0</v>
      </c>
      <c r="N22" s="151">
        <v>0</v>
      </c>
      <c r="O22" s="151">
        <v>0</v>
      </c>
      <c r="P22" s="152">
        <v>0</v>
      </c>
    </row>
    <row r="23" spans="1:57" x14ac:dyDescent="0.25">
      <c r="A23" s="144" t="s">
        <v>338</v>
      </c>
      <c r="B23" s="145">
        <v>2.1059999999999999</v>
      </c>
      <c r="C23" s="145">
        <v>2.4432</v>
      </c>
      <c r="D23" s="145">
        <v>3.8662000000000001</v>
      </c>
      <c r="E23" s="145">
        <v>8.6249000000000002</v>
      </c>
      <c r="F23" s="146">
        <v>0.1323</v>
      </c>
      <c r="G23" s="148">
        <f t="shared" si="1"/>
        <v>0.59080915445599635</v>
      </c>
      <c r="H23" s="148">
        <f t="shared" si="1"/>
        <v>0.14623627816427565</v>
      </c>
      <c r="I23" s="148">
        <f t="shared" si="1"/>
        <v>0.17275757433387537</v>
      </c>
      <c r="J23" s="148">
        <f t="shared" si="1"/>
        <v>0.57542967686205038</v>
      </c>
      <c r="K23" s="149">
        <f t="shared" si="1"/>
        <v>0.53164862165172178</v>
      </c>
      <c r="L23" s="151">
        <v>-5.9737476560407177E-2</v>
      </c>
      <c r="M23" s="151">
        <v>0</v>
      </c>
      <c r="N23" s="151">
        <v>4.6252988254860128E-3</v>
      </c>
      <c r="O23" s="151">
        <v>0</v>
      </c>
      <c r="P23" s="152">
        <v>0</v>
      </c>
    </row>
    <row r="24" spans="1:57" x14ac:dyDescent="0.25">
      <c r="A24" s="153" t="s">
        <v>339</v>
      </c>
      <c r="B24" s="145">
        <v>1.9513000000000003</v>
      </c>
      <c r="C24" s="145">
        <v>0.39499999999999991</v>
      </c>
      <c r="D24" s="145">
        <v>0.14399999999999999</v>
      </c>
      <c r="E24" s="145">
        <v>8.4047999999999981</v>
      </c>
      <c r="F24" s="146">
        <v>8.5999999999999993E-2</v>
      </c>
      <c r="G24" s="148">
        <f t="shared" si="1"/>
        <v>0.54741021039410542</v>
      </c>
      <c r="H24" s="148">
        <f t="shared" si="1"/>
        <v>2.3642489307010829E-2</v>
      </c>
      <c r="I24" s="148">
        <f t="shared" si="1"/>
        <v>6.4345069329258837E-3</v>
      </c>
      <c r="J24" s="148">
        <f t="shared" si="1"/>
        <v>0.56074520841866693</v>
      </c>
      <c r="K24" s="149">
        <f t="shared" si="1"/>
        <v>0.34559169661411993</v>
      </c>
      <c r="L24" s="151">
        <v>-6.2506005573171763E-2</v>
      </c>
      <c r="M24" s="151">
        <v>0</v>
      </c>
      <c r="N24" s="151">
        <v>0.17647058823529416</v>
      </c>
      <c r="O24" s="151">
        <v>0</v>
      </c>
      <c r="P24" s="152">
        <v>0</v>
      </c>
    </row>
    <row r="25" spans="1:57" x14ac:dyDescent="0.25">
      <c r="A25" s="153" t="s">
        <v>340</v>
      </c>
      <c r="B25" s="145">
        <v>6.54E-2</v>
      </c>
      <c r="C25" s="145">
        <v>1.8290999999999999</v>
      </c>
      <c r="D25" s="145">
        <v>3.6137000000000001</v>
      </c>
      <c r="E25" s="145">
        <v>0.1022</v>
      </c>
      <c r="F25" s="146">
        <v>3.5000000000000001E-3</v>
      </c>
      <c r="G25" s="148">
        <f t="shared" si="1"/>
        <v>1.8347064910456869E-2</v>
      </c>
      <c r="H25" s="148">
        <f t="shared" si="1"/>
        <v>0.10947968909228739</v>
      </c>
      <c r="I25" s="148">
        <f t="shared" si="1"/>
        <v>0.16147484516329352</v>
      </c>
      <c r="J25" s="148">
        <f t="shared" si="1"/>
        <v>6.8185037479045031E-3</v>
      </c>
      <c r="K25" s="149">
        <f t="shared" si="1"/>
        <v>1.4064778350574649E-2</v>
      </c>
      <c r="L25" s="151">
        <v>0</v>
      </c>
      <c r="M25" s="151">
        <v>0</v>
      </c>
      <c r="N25" s="151">
        <v>0</v>
      </c>
      <c r="O25" s="151">
        <v>0</v>
      </c>
      <c r="P25" s="152">
        <v>0</v>
      </c>
    </row>
    <row r="26" spans="1:57" x14ac:dyDescent="0.25">
      <c r="A26" s="153" t="s">
        <v>341</v>
      </c>
      <c r="B26" s="145">
        <v>7.6200000000000004E-2</v>
      </c>
      <c r="C26" s="145">
        <v>5.1699999999999996E-2</v>
      </c>
      <c r="D26" s="145">
        <v>9.1299999999999992E-2</v>
      </c>
      <c r="E26" s="145">
        <v>0.1094</v>
      </c>
      <c r="F26" s="146">
        <v>1.38E-2</v>
      </c>
      <c r="G26" s="148">
        <f t="shared" si="1"/>
        <v>2.1376855446128645E-2</v>
      </c>
      <c r="H26" s="148">
        <f t="shared" si="1"/>
        <v>3.0944726510695195E-3</v>
      </c>
      <c r="I26" s="148">
        <f t="shared" si="1"/>
        <v>4.0796561317787026E-3</v>
      </c>
      <c r="J26" s="148">
        <f t="shared" si="1"/>
        <v>7.2988680041169533E-3</v>
      </c>
      <c r="K26" s="149">
        <f t="shared" si="1"/>
        <v>5.5455411782265755E-2</v>
      </c>
      <c r="L26" s="151">
        <v>-4.630788485607007E-2</v>
      </c>
      <c r="M26" s="151">
        <v>0</v>
      </c>
      <c r="N26" s="151">
        <v>-3.6919831223628741E-2</v>
      </c>
      <c r="O26" s="151">
        <v>0</v>
      </c>
      <c r="P26" s="152">
        <v>0</v>
      </c>
    </row>
    <row r="27" spans="1:57" x14ac:dyDescent="0.25">
      <c r="A27" s="153" t="s">
        <v>342</v>
      </c>
      <c r="B27" s="145">
        <v>1.3000000000000001E-2</v>
      </c>
      <c r="C27" s="145">
        <v>0.16739999999999999</v>
      </c>
      <c r="D27" s="145">
        <v>1.7299999999999999E-2</v>
      </c>
      <c r="E27" s="145">
        <v>8.3999999999999995E-3</v>
      </c>
      <c r="F27" s="146">
        <v>2.8899999999999999E-2</v>
      </c>
      <c r="G27" s="148">
        <f t="shared" si="1"/>
        <v>3.6469700892345462E-3</v>
      </c>
      <c r="H27" s="148">
        <f t="shared" si="1"/>
        <v>1.0019627113907883E-2</v>
      </c>
      <c r="I27" s="148">
        <f t="shared" si="1"/>
        <v>7.73034513469568E-4</v>
      </c>
      <c r="J27" s="148">
        <f t="shared" si="1"/>
        <v>5.6042496558119206E-4</v>
      </c>
      <c r="K27" s="149">
        <f t="shared" si="1"/>
        <v>0.11613488409474496</v>
      </c>
      <c r="L27" s="151">
        <v>-7.6335877862593327E-3</v>
      </c>
      <c r="M27" s="151">
        <v>0</v>
      </c>
      <c r="N27" s="151">
        <v>-5.7471264367815467E-3</v>
      </c>
      <c r="O27" s="151">
        <v>0</v>
      </c>
      <c r="P27" s="152">
        <v>0</v>
      </c>
    </row>
    <row r="28" spans="1:57" x14ac:dyDescent="0.25">
      <c r="A28" s="144" t="s">
        <v>343</v>
      </c>
      <c r="B28" s="145">
        <v>0.20449999999999999</v>
      </c>
      <c r="C28" s="145">
        <v>0.2462</v>
      </c>
      <c r="D28" s="145">
        <v>1.61E-2</v>
      </c>
      <c r="E28" s="145">
        <v>2.3466</v>
      </c>
      <c r="F28" s="146">
        <v>4.8599999999999997E-2</v>
      </c>
      <c r="G28" s="148">
        <f t="shared" si="1"/>
        <v>5.7369644865266502E-2</v>
      </c>
      <c r="H28" s="148">
        <f t="shared" si="1"/>
        <v>1.4736154094648273E-2</v>
      </c>
      <c r="I28" s="148">
        <f t="shared" si="1"/>
        <v>7.1941362236185229E-4</v>
      </c>
      <c r="J28" s="148">
        <f t="shared" si="1"/>
        <v>0.15655871717057443</v>
      </c>
      <c r="K28" s="149">
        <f t="shared" si="1"/>
        <v>0.19529949366797938</v>
      </c>
      <c r="L28" s="151">
        <v>0</v>
      </c>
      <c r="M28" s="151">
        <v>0</v>
      </c>
      <c r="N28" s="151">
        <v>0</v>
      </c>
      <c r="O28" s="151">
        <v>0</v>
      </c>
      <c r="P28" s="152">
        <v>0</v>
      </c>
    </row>
    <row r="29" spans="1:57" x14ac:dyDescent="0.25">
      <c r="A29" s="144" t="s">
        <v>344</v>
      </c>
      <c r="B29" s="145">
        <v>0.13870857142857146</v>
      </c>
      <c r="C29" s="145">
        <v>2.1354142857142899</v>
      </c>
      <c r="D29" s="145">
        <v>3.7905714285714327E-2</v>
      </c>
      <c r="E29" s="145">
        <v>3.2517884821428598</v>
      </c>
      <c r="F29" s="146">
        <v>4.8128571428571389E-2</v>
      </c>
      <c r="G29" s="148">
        <f t="shared" si="1"/>
        <v>3.8912770086188736E-2</v>
      </c>
      <c r="H29" s="148">
        <f t="shared" si="1"/>
        <v>0.12781394788870451</v>
      </c>
      <c r="I29" s="148">
        <f t="shared" si="1"/>
        <v>1.6937818150620594E-3</v>
      </c>
      <c r="J29" s="148">
        <f t="shared" si="1"/>
        <v>0.21695041049788441</v>
      </c>
      <c r="K29" s="149">
        <f t="shared" si="1"/>
        <v>0.19340505413504469</v>
      </c>
      <c r="L29" s="151">
        <v>0</v>
      </c>
      <c r="M29" s="151">
        <v>0</v>
      </c>
      <c r="N29" s="151">
        <v>0</v>
      </c>
      <c r="O29" s="151">
        <v>0</v>
      </c>
      <c r="P29" s="152">
        <v>0</v>
      </c>
    </row>
    <row r="30" spans="1:57" x14ac:dyDescent="0.25">
      <c r="A30" s="154" t="s">
        <v>345</v>
      </c>
      <c r="B30" s="155">
        <v>0.2814685714285714</v>
      </c>
      <c r="C30" s="155">
        <v>1.2482771428571431</v>
      </c>
      <c r="D30" s="155">
        <v>11.3291</v>
      </c>
      <c r="E30" s="155">
        <v>0.67758571428571401</v>
      </c>
      <c r="F30" s="156">
        <v>1E-4</v>
      </c>
      <c r="G30" s="157">
        <f t="shared" si="1"/>
        <v>7.8962112389198244E-2</v>
      </c>
      <c r="H30" s="157">
        <f t="shared" si="1"/>
        <v>7.4714883549838088E-2</v>
      </c>
      <c r="I30" s="157">
        <f t="shared" si="1"/>
        <v>0.50623036454035164</v>
      </c>
      <c r="J30" s="157">
        <f t="shared" si="1"/>
        <v>4.5206660786533182E-2</v>
      </c>
      <c r="K30" s="158">
        <f t="shared" si="1"/>
        <v>4.0185081001641856E-4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</row>
    <row r="31" spans="1:57" x14ac:dyDescent="0.25">
      <c r="A31" s="161" t="s">
        <v>77</v>
      </c>
      <c r="B31" s="162">
        <v>3.5646028571428565</v>
      </c>
      <c r="C31" s="162">
        <v>16.707208571428581</v>
      </c>
      <c r="D31" s="162">
        <v>22.379337142857139</v>
      </c>
      <c r="E31" s="162">
        <v>14.988625625000003</v>
      </c>
      <c r="F31" s="163">
        <v>0.24884857142857139</v>
      </c>
      <c r="G31" s="164">
        <f t="shared" si="1"/>
        <v>1</v>
      </c>
      <c r="H31" s="164">
        <f t="shared" si="1"/>
        <v>1</v>
      </c>
      <c r="I31" s="164">
        <f t="shared" si="1"/>
        <v>1</v>
      </c>
      <c r="J31" s="164">
        <f t="shared" si="1"/>
        <v>1</v>
      </c>
      <c r="K31" s="165">
        <f t="shared" si="1"/>
        <v>1</v>
      </c>
      <c r="L31" s="166">
        <v>-3.6177778670483995E-2</v>
      </c>
      <c r="M31" s="166">
        <v>0</v>
      </c>
      <c r="N31" s="166">
        <v>7.9600967886439555E-4</v>
      </c>
      <c r="O31" s="166">
        <v>0</v>
      </c>
      <c r="P31" s="167">
        <v>0</v>
      </c>
    </row>
  </sheetData>
  <mergeCells count="11">
    <mergeCell ref="R20:Y20"/>
    <mergeCell ref="Z20:AG20"/>
    <mergeCell ref="AH20:AO20"/>
    <mergeCell ref="AP20:AW20"/>
    <mergeCell ref="AX20:BE20"/>
    <mergeCell ref="B1:F1"/>
    <mergeCell ref="G1:K1"/>
    <mergeCell ref="L1:P1"/>
    <mergeCell ref="B20:F20"/>
    <mergeCell ref="G20:K20"/>
    <mergeCell ref="L20:P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5"/>
  <sheetViews>
    <sheetView zoomScale="84" zoomScaleNormal="84" workbookViewId="0">
      <selection activeCell="O60" sqref="O60"/>
    </sheetView>
  </sheetViews>
  <sheetFormatPr defaultColWidth="9.140625" defaultRowHeight="15" x14ac:dyDescent="0.25"/>
  <cols>
    <col min="1" max="1" width="48.85546875" customWidth="1"/>
    <col min="2" max="2" width="14.7109375" customWidth="1"/>
    <col min="3" max="4" width="11.85546875" customWidth="1"/>
    <col min="5" max="5" width="53.140625" customWidth="1"/>
    <col min="6" max="6" width="13.7109375" customWidth="1"/>
    <col min="7" max="7" width="12.5703125" hidden="1" customWidth="1"/>
    <col min="8" max="9" width="9.140625" customWidth="1"/>
    <col min="15" max="15" width="93.28515625" customWidth="1"/>
  </cols>
  <sheetData>
    <row r="1" spans="1:14" ht="15.75" x14ac:dyDescent="0.25">
      <c r="A1" s="269" t="s">
        <v>152</v>
      </c>
      <c r="B1" s="269"/>
      <c r="C1" s="269"/>
      <c r="D1" s="269"/>
      <c r="E1" s="269"/>
      <c r="F1" s="75"/>
    </row>
    <row r="2" spans="1:14" ht="16.5" thickBot="1" x14ac:dyDescent="0.3">
      <c r="A2" s="74" t="s">
        <v>153</v>
      </c>
      <c r="B2" s="74"/>
      <c r="C2" s="74" t="s">
        <v>154</v>
      </c>
      <c r="D2" s="74" t="s">
        <v>155</v>
      </c>
      <c r="E2" s="74" t="s">
        <v>156</v>
      </c>
      <c r="G2" s="270" t="s">
        <v>157</v>
      </c>
      <c r="H2" s="270"/>
      <c r="I2" s="270"/>
      <c r="J2" s="270"/>
      <c r="K2" s="270"/>
      <c r="L2" s="270"/>
      <c r="M2" s="270"/>
      <c r="N2" s="270"/>
    </row>
    <row r="3" spans="1:14" ht="15.75" thickTop="1" x14ac:dyDescent="0.25">
      <c r="A3" s="4" t="s">
        <v>158</v>
      </c>
      <c r="B3" s="4"/>
      <c r="C3" s="76">
        <v>17.3</v>
      </c>
      <c r="D3" t="s">
        <v>159</v>
      </c>
      <c r="E3" t="s">
        <v>160</v>
      </c>
      <c r="H3" s="77" t="s">
        <v>161</v>
      </c>
      <c r="I3" s="78">
        <v>5.63</v>
      </c>
      <c r="J3" s="79" t="s">
        <v>162</v>
      </c>
    </row>
    <row r="4" spans="1:14" x14ac:dyDescent="0.25">
      <c r="A4" s="4" t="s">
        <v>163</v>
      </c>
      <c r="B4" s="4"/>
      <c r="C4" s="80">
        <v>16.527501810052286</v>
      </c>
      <c r="D4" t="s">
        <v>159</v>
      </c>
      <c r="E4" t="s">
        <v>164</v>
      </c>
      <c r="H4" s="77" t="s">
        <v>165</v>
      </c>
      <c r="I4" s="81">
        <v>6.3535098781000423</v>
      </c>
      <c r="J4" s="79" t="s">
        <v>162</v>
      </c>
      <c r="N4" s="82" t="s">
        <v>166</v>
      </c>
    </row>
    <row r="5" spans="1:14" x14ac:dyDescent="0.25">
      <c r="A5" s="4" t="s">
        <v>167</v>
      </c>
      <c r="B5" s="4"/>
      <c r="C5" s="80">
        <v>13.772918175043571</v>
      </c>
      <c r="D5" t="s">
        <v>159</v>
      </c>
      <c r="E5" t="s">
        <v>164</v>
      </c>
      <c r="H5" s="83"/>
      <c r="I5" s="83"/>
      <c r="J5" s="83"/>
      <c r="K5" s="83"/>
      <c r="L5" s="84" t="s">
        <v>168</v>
      </c>
      <c r="M5" s="84" t="s">
        <v>169</v>
      </c>
      <c r="N5" s="84" t="s">
        <v>170</v>
      </c>
    </row>
    <row r="6" spans="1:14" x14ac:dyDescent="0.25">
      <c r="A6" s="4" t="s">
        <v>171</v>
      </c>
      <c r="B6" s="4"/>
      <c r="C6" s="80">
        <v>12.109899970363385</v>
      </c>
      <c r="D6" t="s">
        <v>159</v>
      </c>
      <c r="E6" t="s">
        <v>164</v>
      </c>
      <c r="H6" s="77" t="s">
        <v>172</v>
      </c>
      <c r="I6" s="85">
        <v>14274</v>
      </c>
      <c r="J6" s="79" t="s">
        <v>173</v>
      </c>
      <c r="K6" s="83"/>
      <c r="L6" s="82">
        <v>1</v>
      </c>
      <c r="M6" s="86">
        <v>73.946236559139791</v>
      </c>
      <c r="N6" s="87">
        <v>1.9237725625309692</v>
      </c>
    </row>
    <row r="7" spans="1:14" x14ac:dyDescent="0.25">
      <c r="A7" s="4" t="s">
        <v>174</v>
      </c>
      <c r="B7" s="4"/>
      <c r="C7" s="80">
        <v>12.141821186058127</v>
      </c>
      <c r="D7" t="s">
        <v>159</v>
      </c>
      <c r="E7" t="s">
        <v>164</v>
      </c>
      <c r="H7" s="77" t="s">
        <v>175</v>
      </c>
      <c r="I7" s="88">
        <v>63.084095063985373</v>
      </c>
      <c r="J7" s="83"/>
      <c r="K7" s="83"/>
      <c r="L7" s="82">
        <v>2</v>
      </c>
      <c r="M7" s="86">
        <v>69.470588235294116</v>
      </c>
      <c r="N7" s="87">
        <v>1.807334866096399</v>
      </c>
    </row>
    <row r="8" spans="1:14" x14ac:dyDescent="0.25">
      <c r="A8" s="4" t="s">
        <v>176</v>
      </c>
      <c r="B8" s="4"/>
      <c r="C8" s="80">
        <v>12.07221084835353</v>
      </c>
      <c r="D8" t="s">
        <v>159</v>
      </c>
      <c r="E8" t="s">
        <v>164</v>
      </c>
      <c r="H8" s="77" t="s">
        <v>177</v>
      </c>
      <c r="I8" s="89">
        <v>13.881967213114756</v>
      </c>
      <c r="J8" s="83"/>
      <c r="K8" s="83"/>
      <c r="L8" s="82">
        <v>3</v>
      </c>
      <c r="M8" s="86">
        <v>59.827956989247312</v>
      </c>
      <c r="N8" s="87">
        <v>1.5564738313105004</v>
      </c>
    </row>
    <row r="9" spans="1:14" x14ac:dyDescent="0.25">
      <c r="A9" s="4" t="s">
        <v>178</v>
      </c>
      <c r="B9" s="4"/>
      <c r="C9" s="90">
        <v>125000</v>
      </c>
      <c r="D9" t="s">
        <v>58</v>
      </c>
      <c r="E9" t="s">
        <v>179</v>
      </c>
      <c r="H9" s="77" t="s">
        <v>180</v>
      </c>
      <c r="I9" s="91">
        <v>38.438138686131403</v>
      </c>
      <c r="J9" s="83"/>
      <c r="K9" s="83"/>
      <c r="L9" s="82">
        <v>4</v>
      </c>
      <c r="M9" s="86">
        <v>32.068888888888885</v>
      </c>
      <c r="N9" s="87">
        <v>0.83429869356445807</v>
      </c>
    </row>
    <row r="10" spans="1:14" x14ac:dyDescent="0.25">
      <c r="A10" s="4" t="s">
        <v>181</v>
      </c>
      <c r="C10" s="90">
        <v>138500</v>
      </c>
      <c r="D10" t="s">
        <v>58</v>
      </c>
      <c r="E10" t="s">
        <v>182</v>
      </c>
      <c r="H10" s="83"/>
      <c r="I10" s="83"/>
      <c r="J10" s="83"/>
      <c r="K10" s="83"/>
      <c r="L10" s="82">
        <v>5</v>
      </c>
      <c r="M10" s="86">
        <v>14.520430107526881</v>
      </c>
      <c r="N10" s="87">
        <v>0.37776101038851539</v>
      </c>
    </row>
    <row r="11" spans="1:14" x14ac:dyDescent="0.25">
      <c r="A11" s="4" t="s">
        <v>183</v>
      </c>
      <c r="B11" s="4"/>
      <c r="C11" s="90">
        <v>135000</v>
      </c>
      <c r="D11" t="s">
        <v>58</v>
      </c>
      <c r="E11" s="92" t="s">
        <v>184</v>
      </c>
      <c r="H11" s="93" t="s">
        <v>185</v>
      </c>
      <c r="I11" s="83"/>
      <c r="J11" s="83"/>
      <c r="K11" s="83"/>
      <c r="L11" s="82">
        <v>6</v>
      </c>
      <c r="M11" s="86">
        <v>6.0477777777777773</v>
      </c>
      <c r="N11" s="87">
        <v>0.15733794570963017</v>
      </c>
    </row>
    <row r="12" spans="1:14" x14ac:dyDescent="0.25">
      <c r="A12" s="4" t="s">
        <v>186</v>
      </c>
      <c r="B12" s="4"/>
      <c r="C12" s="90">
        <v>136995</v>
      </c>
      <c r="D12" t="s">
        <v>58</v>
      </c>
      <c r="E12" t="s">
        <v>187</v>
      </c>
      <c r="H12" s="83"/>
      <c r="I12" s="94" t="s">
        <v>111</v>
      </c>
      <c r="J12" s="95" t="s">
        <v>188</v>
      </c>
      <c r="K12" s="82"/>
      <c r="L12" s="82">
        <v>7</v>
      </c>
      <c r="M12" s="86">
        <v>4.2473118279569899</v>
      </c>
      <c r="N12" s="87">
        <v>0.11049733345931843</v>
      </c>
    </row>
    <row r="13" spans="1:14" x14ac:dyDescent="0.25">
      <c r="A13" s="4" t="s">
        <v>189</v>
      </c>
      <c r="B13" s="4"/>
      <c r="C13" s="90">
        <v>135000</v>
      </c>
      <c r="D13" t="s">
        <v>58</v>
      </c>
      <c r="E13" s="92" t="s">
        <v>190</v>
      </c>
      <c r="H13" s="96" t="s">
        <v>161</v>
      </c>
      <c r="I13" s="97">
        <v>355.16345521023766</v>
      </c>
      <c r="J13" s="98">
        <v>78.155475409836072</v>
      </c>
      <c r="K13" s="99"/>
      <c r="L13" s="82">
        <v>8</v>
      </c>
      <c r="M13" s="86">
        <v>9.1344086021505362</v>
      </c>
      <c r="N13" s="87">
        <v>0.23763920195871135</v>
      </c>
    </row>
    <row r="14" spans="1:14" x14ac:dyDescent="0.25">
      <c r="A14" s="4" t="s">
        <v>191</v>
      </c>
      <c r="B14" s="4"/>
      <c r="C14" s="90">
        <v>91333</v>
      </c>
      <c r="D14" t="s">
        <v>58</v>
      </c>
      <c r="E14" s="92" t="s">
        <v>184</v>
      </c>
      <c r="H14" s="96" t="s">
        <v>165</v>
      </c>
      <c r="I14" s="97">
        <v>400.80542114003316</v>
      </c>
      <c r="J14" s="98">
        <v>88.199215815985511</v>
      </c>
      <c r="K14" s="99"/>
      <c r="L14" s="82">
        <v>9</v>
      </c>
      <c r="M14" s="86">
        <v>17.731111111111112</v>
      </c>
      <c r="N14" s="87">
        <v>0.46128953474816797</v>
      </c>
    </row>
    <row r="15" spans="1:14" x14ac:dyDescent="0.25">
      <c r="A15" s="4" t="s">
        <v>192</v>
      </c>
      <c r="B15" s="4"/>
      <c r="C15" s="90">
        <v>1015</v>
      </c>
      <c r="D15" t="s">
        <v>193</v>
      </c>
      <c r="E15" s="92" t="s">
        <v>194</v>
      </c>
      <c r="H15" s="83"/>
      <c r="I15" s="83"/>
      <c r="J15" s="83"/>
      <c r="K15" s="83"/>
      <c r="L15" s="82">
        <v>10</v>
      </c>
      <c r="M15" s="86">
        <v>42.064516129032256</v>
      </c>
      <c r="N15" s="87">
        <v>1.094343211374313</v>
      </c>
    </row>
    <row r="16" spans="1:14" x14ac:dyDescent="0.25">
      <c r="A16" s="4" t="s">
        <v>195</v>
      </c>
      <c r="B16" s="4"/>
      <c r="C16" s="76">
        <v>15.2</v>
      </c>
      <c r="D16" s="100" t="s">
        <v>159</v>
      </c>
      <c r="E16" t="s">
        <v>184</v>
      </c>
      <c r="H16" s="101" t="s">
        <v>196</v>
      </c>
      <c r="I16" s="102">
        <v>182</v>
      </c>
      <c r="J16" s="103">
        <v>183</v>
      </c>
      <c r="K16" s="83"/>
      <c r="L16" s="82">
        <v>11</v>
      </c>
      <c r="M16" s="86">
        <v>64.677777777777777</v>
      </c>
      <c r="N16" s="87">
        <v>1.6826459341829088</v>
      </c>
    </row>
    <row r="17" spans="1:16" x14ac:dyDescent="0.25">
      <c r="A17" s="4" t="s">
        <v>197</v>
      </c>
      <c r="B17" s="4"/>
      <c r="C17" s="90">
        <v>3413</v>
      </c>
      <c r="D17" s="104" t="s">
        <v>198</v>
      </c>
      <c r="E17" t="s">
        <v>184</v>
      </c>
      <c r="H17" s="83"/>
      <c r="I17" s="83"/>
      <c r="J17" s="83"/>
      <c r="K17" s="83"/>
      <c r="L17" s="82">
        <v>12</v>
      </c>
      <c r="M17" s="86">
        <v>69.118279569892479</v>
      </c>
      <c r="N17" s="87">
        <v>1.7981692644974654</v>
      </c>
    </row>
    <row r="18" spans="1:16" x14ac:dyDescent="0.25">
      <c r="A18" s="73" t="s">
        <v>199</v>
      </c>
      <c r="B18" s="73"/>
      <c r="C18" s="4"/>
      <c r="D18" s="104"/>
      <c r="F18" s="28"/>
      <c r="H18" s="77" t="s">
        <v>200</v>
      </c>
      <c r="I18" s="85">
        <v>33441</v>
      </c>
      <c r="J18" s="93" t="s">
        <v>201</v>
      </c>
      <c r="K18" s="83"/>
      <c r="L18" s="83"/>
      <c r="M18" s="105">
        <v>462.85528357579585</v>
      </c>
      <c r="N18" s="105">
        <v>12.041563389821357</v>
      </c>
    </row>
    <row r="19" spans="1:16" x14ac:dyDescent="0.25">
      <c r="A19" s="11" t="s">
        <v>202</v>
      </c>
      <c r="B19" s="11"/>
      <c r="C19" s="106">
        <v>1.6827555429317793</v>
      </c>
      <c r="D19" s="107" t="s">
        <v>203</v>
      </c>
      <c r="H19" s="77" t="s">
        <v>204</v>
      </c>
      <c r="I19" s="85">
        <v>25130</v>
      </c>
      <c r="J19" s="93" t="s">
        <v>205</v>
      </c>
    </row>
    <row r="21" spans="1:16" ht="15.75" x14ac:dyDescent="0.25">
      <c r="A21" s="269" t="s">
        <v>206</v>
      </c>
      <c r="B21" s="269"/>
      <c r="C21" s="269"/>
      <c r="D21" s="269"/>
      <c r="E21" s="269"/>
      <c r="F21" s="75"/>
    </row>
    <row r="23" spans="1:16" ht="15.75" thickBot="1" x14ac:dyDescent="0.3">
      <c r="A23" s="74" t="s">
        <v>153</v>
      </c>
      <c r="B23" s="74"/>
      <c r="C23" s="74" t="s">
        <v>207</v>
      </c>
      <c r="D23" s="74" t="s">
        <v>155</v>
      </c>
      <c r="E23" s="74" t="s">
        <v>208</v>
      </c>
      <c r="H23" s="108"/>
      <c r="I23" s="108"/>
      <c r="J23" s="109" t="s">
        <v>209</v>
      </c>
      <c r="K23" s="108"/>
      <c r="L23" s="108"/>
    </row>
    <row r="24" spans="1:16" ht="15.75" thickTop="1" x14ac:dyDescent="0.25">
      <c r="A24" t="s">
        <v>163</v>
      </c>
      <c r="C24" s="110">
        <v>200</v>
      </c>
      <c r="D24" t="s">
        <v>210</v>
      </c>
      <c r="E24" s="92" t="s">
        <v>194</v>
      </c>
      <c r="I24" s="11" t="s">
        <v>211</v>
      </c>
      <c r="J24" s="111">
        <v>0.98</v>
      </c>
    </row>
    <row r="25" spans="1:16" x14ac:dyDescent="0.25">
      <c r="A25" t="s">
        <v>183</v>
      </c>
      <c r="C25" s="112">
        <v>2.7</v>
      </c>
      <c r="D25" t="s">
        <v>212</v>
      </c>
      <c r="E25" s="92" t="s">
        <v>194</v>
      </c>
      <c r="I25" s="11" t="s">
        <v>213</v>
      </c>
      <c r="J25" s="111">
        <v>2.0000000000000018E-2</v>
      </c>
    </row>
    <row r="26" spans="1:16" x14ac:dyDescent="0.25">
      <c r="A26" t="s">
        <v>189</v>
      </c>
      <c r="C26" s="112">
        <v>2.7</v>
      </c>
      <c r="D26" t="s">
        <v>212</v>
      </c>
      <c r="E26" t="s">
        <v>214</v>
      </c>
    </row>
    <row r="27" spans="1:16" x14ac:dyDescent="0.25">
      <c r="A27" t="s">
        <v>191</v>
      </c>
      <c r="C27" s="112">
        <v>2.74</v>
      </c>
      <c r="D27" t="s">
        <v>212</v>
      </c>
      <c r="E27" s="92" t="s">
        <v>194</v>
      </c>
    </row>
    <row r="28" spans="1:16" x14ac:dyDescent="0.25">
      <c r="A28" t="s">
        <v>192</v>
      </c>
      <c r="C28" s="113">
        <v>2.335</v>
      </c>
      <c r="D28" t="s">
        <v>215</v>
      </c>
      <c r="E28" s="92" t="s">
        <v>194</v>
      </c>
    </row>
    <row r="29" spans="1:16" x14ac:dyDescent="0.25">
      <c r="A29" t="s">
        <v>195</v>
      </c>
    </row>
    <row r="30" spans="1:16" x14ac:dyDescent="0.25">
      <c r="A30" t="s">
        <v>197</v>
      </c>
      <c r="C30" s="113">
        <v>0.18026</v>
      </c>
      <c r="D30" s="104" t="s">
        <v>216</v>
      </c>
    </row>
    <row r="31" spans="1:16" x14ac:dyDescent="0.25">
      <c r="O31">
        <v>2.2029402006008474</v>
      </c>
      <c r="P31">
        <f>L38/AVERAGE(L42:L43)</f>
        <v>5.551787761244606</v>
      </c>
    </row>
    <row r="32" spans="1:16" x14ac:dyDescent="0.25">
      <c r="P32">
        <f>P31/O31</f>
        <v>2.5201717957347944</v>
      </c>
    </row>
    <row r="33" spans="1:15" ht="15.75" x14ac:dyDescent="0.25">
      <c r="A33" s="260" t="s">
        <v>217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</row>
    <row r="35" spans="1:15" x14ac:dyDescent="0.25">
      <c r="D35" s="4" t="s">
        <v>218</v>
      </c>
      <c r="E35" s="4"/>
      <c r="F35" s="4" t="s">
        <v>50</v>
      </c>
      <c r="H35" s="262" t="s">
        <v>219</v>
      </c>
      <c r="I35" s="262"/>
      <c r="J35" s="262"/>
      <c r="K35" s="262"/>
      <c r="L35" s="262"/>
      <c r="M35" s="262"/>
      <c r="N35" s="262"/>
    </row>
    <row r="36" spans="1:15" ht="15.75" thickBot="1" x14ac:dyDescent="0.3">
      <c r="A36" s="108" t="s">
        <v>220</v>
      </c>
      <c r="B36" s="74" t="s">
        <v>221</v>
      </c>
      <c r="C36" s="74" t="s">
        <v>132</v>
      </c>
      <c r="D36" s="74" t="s">
        <v>118</v>
      </c>
      <c r="E36" s="74" t="s">
        <v>222</v>
      </c>
      <c r="F36" s="74" t="s">
        <v>223</v>
      </c>
      <c r="G36" s="108"/>
      <c r="H36" s="74" t="s">
        <v>27</v>
      </c>
      <c r="I36" s="74" t="s">
        <v>28</v>
      </c>
      <c r="J36" s="74" t="s">
        <v>29</v>
      </c>
      <c r="K36" s="74" t="s">
        <v>30</v>
      </c>
      <c r="L36" s="74" t="s">
        <v>31</v>
      </c>
      <c r="M36" s="74" t="s">
        <v>32</v>
      </c>
      <c r="N36" s="74" t="s">
        <v>33</v>
      </c>
      <c r="O36" s="108" t="s">
        <v>224</v>
      </c>
    </row>
    <row r="37" spans="1:15" ht="15.75" thickTop="1" x14ac:dyDescent="0.25">
      <c r="A37" t="s">
        <v>225</v>
      </c>
      <c r="B37" s="114" t="s">
        <v>133</v>
      </c>
      <c r="C37" s="4">
        <v>2104008100</v>
      </c>
      <c r="D37" s="115">
        <v>7.0000000000000007E-2</v>
      </c>
      <c r="E37" t="s">
        <v>226</v>
      </c>
      <c r="F37" s="99">
        <v>859.85967312000002</v>
      </c>
      <c r="H37" s="116">
        <v>13.236994219653178</v>
      </c>
      <c r="I37" s="116">
        <v>0.15028901734104047</v>
      </c>
      <c r="J37" s="116">
        <v>2.3121387283236993E-2</v>
      </c>
      <c r="K37" s="116">
        <v>2</v>
      </c>
      <c r="L37" s="116">
        <v>2</v>
      </c>
      <c r="M37" s="116">
        <v>0.10404624277456648</v>
      </c>
      <c r="N37" s="116">
        <v>14.60115606936416</v>
      </c>
      <c r="O37" t="s">
        <v>227</v>
      </c>
    </row>
    <row r="38" spans="1:15" ht="15" customHeight="1" x14ac:dyDescent="0.25">
      <c r="A38" t="s">
        <v>228</v>
      </c>
      <c r="B38" s="114" t="s">
        <v>134</v>
      </c>
      <c r="C38" s="4">
        <v>2104008210</v>
      </c>
      <c r="D38" s="115">
        <v>0.4</v>
      </c>
      <c r="E38" t="s">
        <v>226</v>
      </c>
      <c r="F38" s="99">
        <v>760.45393056277464</v>
      </c>
      <c r="H38" s="33">
        <v>3.0635838150289016</v>
      </c>
      <c r="I38" s="33">
        <v>0.16184971098265893</v>
      </c>
      <c r="J38" s="33">
        <v>2.3121387283236993E-2</v>
      </c>
      <c r="K38" s="33">
        <v>1.7687861271676302</v>
      </c>
      <c r="L38" s="33">
        <v>1.7687861271676302</v>
      </c>
      <c r="M38" s="33">
        <v>9.8265895953757218E-2</v>
      </c>
      <c r="N38" s="33">
        <v>13.341040462427745</v>
      </c>
      <c r="O38" t="s">
        <v>229</v>
      </c>
    </row>
    <row r="39" spans="1:15" x14ac:dyDescent="0.25">
      <c r="A39" t="s">
        <v>230</v>
      </c>
      <c r="B39" s="114" t="s">
        <v>135</v>
      </c>
      <c r="C39" s="4">
        <v>2104008220</v>
      </c>
      <c r="D39" s="115">
        <v>0.66</v>
      </c>
      <c r="E39" t="s">
        <v>226</v>
      </c>
      <c r="F39" s="99">
        <v>298.21722767167626</v>
      </c>
      <c r="H39" s="33">
        <v>0.69364161849710981</v>
      </c>
      <c r="I39" s="33">
        <v>0.11560693641618497</v>
      </c>
      <c r="J39" s="33">
        <v>2.3121387283236993E-2</v>
      </c>
      <c r="K39" s="33">
        <v>1.7687861271676302</v>
      </c>
      <c r="L39" s="33">
        <v>0.69364161849710981</v>
      </c>
      <c r="M39" s="33">
        <v>5.2023121387283239E-2</v>
      </c>
      <c r="N39" s="33">
        <v>8.1387283236994215</v>
      </c>
      <c r="O39" t="s">
        <v>231</v>
      </c>
    </row>
    <row r="40" spans="1:15" x14ac:dyDescent="0.25">
      <c r="A40" t="s">
        <v>232</v>
      </c>
      <c r="B40" s="114" t="s">
        <v>136</v>
      </c>
      <c r="C40" s="4">
        <v>2104008230</v>
      </c>
      <c r="D40" s="115">
        <v>0.7</v>
      </c>
      <c r="E40" t="s">
        <v>226</v>
      </c>
      <c r="F40" s="99">
        <v>323.06866331098263</v>
      </c>
      <c r="H40" s="33">
        <v>0.86705202312138729</v>
      </c>
      <c r="I40" s="33">
        <v>0.11560693641618497</v>
      </c>
      <c r="J40" s="33">
        <v>2.3121387283236993E-2</v>
      </c>
      <c r="K40" s="33">
        <v>0.75144508670520227</v>
      </c>
      <c r="L40" s="33">
        <v>0.75144508670520227</v>
      </c>
      <c r="M40" s="33">
        <v>5.2023121387283239E-2</v>
      </c>
      <c r="N40" s="33">
        <v>6.1849710982658959</v>
      </c>
      <c r="O40" t="s">
        <v>233</v>
      </c>
    </row>
    <row r="41" spans="1:15" x14ac:dyDescent="0.25">
      <c r="A41" t="s">
        <v>234</v>
      </c>
      <c r="B41" s="114" t="s">
        <v>137</v>
      </c>
      <c r="C41" s="4">
        <v>2104008310</v>
      </c>
      <c r="D41" s="115">
        <v>0.54</v>
      </c>
      <c r="E41" t="s">
        <v>235</v>
      </c>
      <c r="F41" s="99">
        <v>301.74686180116254</v>
      </c>
      <c r="H41" s="33">
        <v>3.0635838150289016</v>
      </c>
      <c r="I41" s="117">
        <v>8.3938880536453639E-2</v>
      </c>
      <c r="J41" s="33">
        <v>2.3121387283236993E-2</v>
      </c>
      <c r="K41" s="118">
        <v>0.70185140955913039</v>
      </c>
      <c r="L41" s="118">
        <v>0.70185140955913039</v>
      </c>
      <c r="M41" s="119">
        <v>2.2949626892147957E-2</v>
      </c>
      <c r="N41" s="117">
        <v>7.0040833351833571</v>
      </c>
      <c r="O41" s="120" t="s">
        <v>236</v>
      </c>
    </row>
    <row r="42" spans="1:15" x14ac:dyDescent="0.25">
      <c r="A42" t="s">
        <v>237</v>
      </c>
      <c r="B42" s="114" t="s">
        <v>138</v>
      </c>
      <c r="C42" s="4">
        <v>2104008320</v>
      </c>
      <c r="D42" s="115">
        <v>0.68</v>
      </c>
      <c r="E42" t="s">
        <v>235</v>
      </c>
      <c r="F42" s="99">
        <v>196.95074035379199</v>
      </c>
      <c r="H42" s="33">
        <v>0.69364161849710981</v>
      </c>
      <c r="I42" s="117">
        <v>9.2996510765176413E-2</v>
      </c>
      <c r="J42" s="33">
        <v>2.3121387283236993E-2</v>
      </c>
      <c r="K42" s="118">
        <v>0.45809972606147792</v>
      </c>
      <c r="L42" s="118">
        <v>0.45809972606147792</v>
      </c>
      <c r="M42" s="119">
        <v>1.4435938518844138E-2</v>
      </c>
      <c r="N42" s="117">
        <v>7.1468756353823277</v>
      </c>
      <c r="O42" s="120" t="s">
        <v>238</v>
      </c>
    </row>
    <row r="43" spans="1:15" x14ac:dyDescent="0.25">
      <c r="A43" t="s">
        <v>239</v>
      </c>
      <c r="B43" s="114" t="s">
        <v>139</v>
      </c>
      <c r="C43" s="4">
        <v>2104008330</v>
      </c>
      <c r="D43" s="115">
        <v>0.72</v>
      </c>
      <c r="E43" t="s">
        <v>235</v>
      </c>
      <c r="F43" s="99">
        <v>76.998467817053225</v>
      </c>
      <c r="H43" s="33">
        <v>0.86705202312138729</v>
      </c>
      <c r="I43" s="117">
        <v>9.2996510765176413E-2</v>
      </c>
      <c r="J43" s="33">
        <v>2.3121387283236993E-2</v>
      </c>
      <c r="K43" s="118">
        <v>0.50830243576684553</v>
      </c>
      <c r="L43" s="118">
        <v>0.17909542736819919</v>
      </c>
      <c r="M43" s="119">
        <v>4.3491146348737025E-3</v>
      </c>
      <c r="N43" s="117">
        <v>0.6009377650746468</v>
      </c>
      <c r="O43" s="120" t="s">
        <v>240</v>
      </c>
    </row>
    <row r="44" spans="1:15" x14ac:dyDescent="0.25">
      <c r="A44" t="s">
        <v>241</v>
      </c>
      <c r="B44" s="114" t="s">
        <v>140</v>
      </c>
      <c r="C44" s="4">
        <v>2104008410</v>
      </c>
      <c r="D44" s="115">
        <v>0.56000000000000005</v>
      </c>
      <c r="E44" t="s">
        <v>242</v>
      </c>
      <c r="F44" s="99">
        <v>76.998467817053225</v>
      </c>
      <c r="H44" s="33">
        <v>0.13872832369942195</v>
      </c>
      <c r="I44" s="117">
        <v>0.24226286864265861</v>
      </c>
      <c r="J44" s="121">
        <v>1.9361667823589102E-2</v>
      </c>
      <c r="K44" s="117">
        <v>0.17909542736819919</v>
      </c>
      <c r="L44" s="117">
        <v>0.17909542736819919</v>
      </c>
      <c r="M44" s="117">
        <v>4.3491146348737025E-3</v>
      </c>
      <c r="N44" s="117">
        <v>0.6009377650746468</v>
      </c>
      <c r="O44" s="120" t="s">
        <v>243</v>
      </c>
    </row>
    <row r="45" spans="1:15" x14ac:dyDescent="0.25">
      <c r="A45" t="s">
        <v>244</v>
      </c>
      <c r="B45" s="114" t="s">
        <v>141</v>
      </c>
      <c r="C45" s="4">
        <v>2104008420</v>
      </c>
      <c r="D45" s="115">
        <v>0.78</v>
      </c>
      <c r="E45" t="s">
        <v>245</v>
      </c>
      <c r="F45" s="99">
        <v>76.998467817053225</v>
      </c>
      <c r="H45" s="33">
        <v>0.13872832369942195</v>
      </c>
      <c r="I45" s="117">
        <v>0.24226286864265861</v>
      </c>
      <c r="J45" s="121">
        <v>1.9361667823589102E-2</v>
      </c>
      <c r="K45" s="117">
        <v>0.17909542736819919</v>
      </c>
      <c r="L45" s="117">
        <v>0.17909542736819919</v>
      </c>
      <c r="M45" s="117">
        <v>4.3491146348737025E-3</v>
      </c>
      <c r="N45" s="117">
        <v>0.6009377650746468</v>
      </c>
      <c r="O45" s="120" t="s">
        <v>243</v>
      </c>
    </row>
    <row r="46" spans="1:15" x14ac:dyDescent="0.25">
      <c r="A46" t="s">
        <v>246</v>
      </c>
      <c r="B46" s="114" t="s">
        <v>142</v>
      </c>
      <c r="C46" s="4">
        <v>2104008610</v>
      </c>
      <c r="D46" s="115">
        <v>0.43</v>
      </c>
      <c r="E46" t="s">
        <v>247</v>
      </c>
      <c r="F46" s="99">
        <v>245.28744914903737</v>
      </c>
      <c r="H46" s="122">
        <v>2.6242774566473992</v>
      </c>
      <c r="I46" s="123">
        <v>9.3221590153625633E-2</v>
      </c>
      <c r="J46" s="122">
        <v>2.3121387283236997E-2</v>
      </c>
      <c r="K46" s="117">
        <v>0.57052902192519883</v>
      </c>
      <c r="L46" s="117">
        <v>0.57052902192519883</v>
      </c>
      <c r="M46" s="117">
        <v>1.4090090727345279E-2</v>
      </c>
      <c r="N46" s="123">
        <v>3.5011945946243972</v>
      </c>
      <c r="O46" t="s">
        <v>248</v>
      </c>
    </row>
    <row r="47" spans="1:15" x14ac:dyDescent="0.25">
      <c r="A47" t="s">
        <v>249</v>
      </c>
      <c r="B47" s="114" t="s">
        <v>250</v>
      </c>
      <c r="C47" s="4">
        <v>2104008610</v>
      </c>
      <c r="D47" s="115">
        <v>0.43</v>
      </c>
      <c r="E47" t="s">
        <v>247</v>
      </c>
      <c r="F47" s="99">
        <v>274.50872631481133</v>
      </c>
      <c r="H47" s="122">
        <v>3.0635838150289016</v>
      </c>
      <c r="I47" s="123">
        <v>8.5312348847689498E-2</v>
      </c>
      <c r="J47" s="122">
        <v>2.3121387283236993E-2</v>
      </c>
      <c r="K47" s="118">
        <v>0.63849657076894117</v>
      </c>
      <c r="L47" s="118">
        <v>0.63849657076894117</v>
      </c>
      <c r="M47" s="119">
        <v>1.5797910839809734E-2</v>
      </c>
      <c r="N47" s="123">
        <v>3.1964903472506632</v>
      </c>
      <c r="O47" s="120" t="s">
        <v>251</v>
      </c>
    </row>
    <row r="48" spans="1:15" x14ac:dyDescent="0.25">
      <c r="A48" t="s">
        <v>252</v>
      </c>
      <c r="B48" t="s">
        <v>253</v>
      </c>
      <c r="C48" s="4">
        <v>2104008610</v>
      </c>
      <c r="D48" s="115">
        <v>0.43</v>
      </c>
      <c r="E48" t="s">
        <v>247</v>
      </c>
      <c r="F48" s="99">
        <v>241.87417626421546</v>
      </c>
      <c r="H48" s="122">
        <v>0.69364161849710981</v>
      </c>
      <c r="I48" s="123">
        <v>0.12485855537737023</v>
      </c>
      <c r="J48" s="122">
        <v>2.3121387283236993E-2</v>
      </c>
      <c r="K48" s="118">
        <v>0.56258988257136255</v>
      </c>
      <c r="L48" s="118">
        <v>0.56258988257136255</v>
      </c>
      <c r="M48" s="119">
        <v>7.2588102774874515E-3</v>
      </c>
      <c r="N48" s="123">
        <v>6.2110058976074933</v>
      </c>
      <c r="O48" s="120" t="s">
        <v>254</v>
      </c>
    </row>
    <row r="49" spans="1:15" x14ac:dyDescent="0.25">
      <c r="A49" t="s">
        <v>255</v>
      </c>
      <c r="B49" t="s">
        <v>256</v>
      </c>
      <c r="C49" s="4">
        <v>2104008640</v>
      </c>
      <c r="D49" s="115">
        <v>0.43</v>
      </c>
      <c r="E49" t="s">
        <v>247</v>
      </c>
      <c r="F49" s="99">
        <v>128.40234048594152</v>
      </c>
      <c r="H49" s="122">
        <v>0.86705202312138729</v>
      </c>
      <c r="I49" s="123">
        <v>0.12485855537737023</v>
      </c>
      <c r="J49" s="122">
        <v>2.3121387283236993E-2</v>
      </c>
      <c r="K49" s="118">
        <v>0.29865882655022946</v>
      </c>
      <c r="L49" s="118">
        <v>0.29865882655022946</v>
      </c>
      <c r="M49" s="119">
        <v>7.2588102774874515E-3</v>
      </c>
      <c r="N49" s="123">
        <v>4.7200115841193302</v>
      </c>
      <c r="O49" s="120" t="s">
        <v>254</v>
      </c>
    </row>
    <row r="50" spans="1:15" x14ac:dyDescent="0.25">
      <c r="A50" t="s">
        <v>257</v>
      </c>
      <c r="D50" s="115">
        <v>0.85</v>
      </c>
      <c r="E50" t="s">
        <v>258</v>
      </c>
      <c r="K50" s="33">
        <v>0.77865378455914136</v>
      </c>
    </row>
    <row r="51" spans="1:15" x14ac:dyDescent="0.25">
      <c r="C51" s="4"/>
      <c r="D51" s="4"/>
      <c r="F51" s="99"/>
      <c r="G51" s="99"/>
      <c r="H51" s="99"/>
      <c r="I51" s="99"/>
      <c r="J51" s="99"/>
      <c r="K51" s="33">
        <v>0.87141539194556972</v>
      </c>
    </row>
    <row r="52" spans="1:15" x14ac:dyDescent="0.25">
      <c r="D52" s="4" t="s">
        <v>218</v>
      </c>
      <c r="E52" s="4" t="s">
        <v>118</v>
      </c>
      <c r="G52" s="4" t="s">
        <v>259</v>
      </c>
      <c r="H52" s="257" t="s">
        <v>260</v>
      </c>
      <c r="I52" s="257"/>
      <c r="J52" s="257"/>
      <c r="K52" s="257"/>
      <c r="L52" s="257"/>
      <c r="M52" s="257"/>
      <c r="N52" s="257"/>
    </row>
    <row r="53" spans="1:15" ht="15.75" thickBot="1" x14ac:dyDescent="0.3">
      <c r="A53" s="108" t="s">
        <v>261</v>
      </c>
      <c r="B53" s="74" t="s">
        <v>221</v>
      </c>
      <c r="C53" s="74" t="s">
        <v>132</v>
      </c>
      <c r="D53" s="74" t="s">
        <v>118</v>
      </c>
      <c r="E53" s="74" t="s">
        <v>208</v>
      </c>
      <c r="F53" s="74" t="s">
        <v>153</v>
      </c>
      <c r="G53" s="74" t="s">
        <v>155</v>
      </c>
      <c r="H53" s="74" t="s">
        <v>27</v>
      </c>
      <c r="I53" s="74" t="s">
        <v>28</v>
      </c>
      <c r="J53" s="74" t="s">
        <v>29</v>
      </c>
      <c r="K53" s="74" t="s">
        <v>30</v>
      </c>
      <c r="L53" s="74" t="s">
        <v>31</v>
      </c>
      <c r="M53" s="74" t="s">
        <v>32</v>
      </c>
      <c r="N53" s="74" t="s">
        <v>33</v>
      </c>
      <c r="O53" s="108" t="s">
        <v>224</v>
      </c>
    </row>
    <row r="54" spans="1:15" ht="15.75" thickTop="1" x14ac:dyDescent="0.25">
      <c r="A54" t="s">
        <v>262</v>
      </c>
      <c r="B54" s="114" t="s">
        <v>263</v>
      </c>
      <c r="C54" s="4">
        <v>2104004000</v>
      </c>
      <c r="D54" s="115">
        <v>0.81</v>
      </c>
      <c r="E54" t="s">
        <v>264</v>
      </c>
      <c r="F54" s="4" t="s">
        <v>265</v>
      </c>
      <c r="G54" s="4" t="s">
        <v>266</v>
      </c>
      <c r="H54" s="124">
        <v>5.2814814814814807E-3</v>
      </c>
      <c r="I54" s="125">
        <v>8.2751178054475613E-2</v>
      </c>
      <c r="J54" s="125">
        <v>0.21409317653036544</v>
      </c>
      <c r="K54" s="125">
        <v>3.382200737921347E-3</v>
      </c>
      <c r="L54" s="125">
        <v>3.382200737921347E-3</v>
      </c>
      <c r="M54" s="125">
        <v>1.814550695894803E-4</v>
      </c>
      <c r="N54" s="125">
        <v>3.3173752237778543E-3</v>
      </c>
      <c r="O54" s="120" t="s">
        <v>267</v>
      </c>
    </row>
    <row r="55" spans="1:15" x14ac:dyDescent="0.25">
      <c r="A55" t="s">
        <v>268</v>
      </c>
      <c r="B55" s="114" t="s">
        <v>269</v>
      </c>
      <c r="C55" s="4">
        <v>2104004000</v>
      </c>
      <c r="D55" s="115">
        <v>0.81</v>
      </c>
      <c r="E55" t="s">
        <v>264</v>
      </c>
      <c r="F55" s="4" t="s">
        <v>178</v>
      </c>
      <c r="G55" s="4" t="s">
        <v>266</v>
      </c>
      <c r="H55" s="124">
        <v>5.703999999999999E-3</v>
      </c>
      <c r="I55" s="125">
        <v>8.9371272298833668E-2</v>
      </c>
      <c r="J55" s="125">
        <v>0.1017856</v>
      </c>
      <c r="K55" s="125">
        <v>3.6527767969550548E-3</v>
      </c>
      <c r="L55" s="125">
        <v>3.6527767969550548E-3</v>
      </c>
      <c r="M55" s="125">
        <v>1.9597147515663872E-4</v>
      </c>
      <c r="N55" s="125">
        <v>3.582765241680083E-3</v>
      </c>
      <c r="O55" s="120" t="s">
        <v>267</v>
      </c>
    </row>
    <row r="56" spans="1:15" x14ac:dyDescent="0.25">
      <c r="A56" t="s">
        <v>270</v>
      </c>
      <c r="B56" s="114" t="s">
        <v>271</v>
      </c>
      <c r="C56" s="4">
        <v>2104004000</v>
      </c>
      <c r="D56" s="115">
        <v>0.81</v>
      </c>
      <c r="E56" t="s">
        <v>264</v>
      </c>
      <c r="F56" s="4" t="s">
        <v>181</v>
      </c>
      <c r="G56" s="4" t="s">
        <v>266</v>
      </c>
      <c r="H56" s="124">
        <v>5.1480144404332118E-3</v>
      </c>
      <c r="I56" s="125">
        <v>8.0659993049488871E-2</v>
      </c>
      <c r="J56" s="125">
        <v>0.26308447653429601</v>
      </c>
      <c r="K56" s="125">
        <v>3.2967299611507714E-3</v>
      </c>
      <c r="L56" s="125">
        <v>3.2967299611507714E-3</v>
      </c>
      <c r="M56" s="125">
        <v>1.7686956241573892E-4</v>
      </c>
      <c r="N56" s="125">
        <v>3.2335426368953818E-3</v>
      </c>
      <c r="O56" s="120" t="s">
        <v>267</v>
      </c>
    </row>
    <row r="57" spans="1:15" x14ac:dyDescent="0.25">
      <c r="A57" t="s">
        <v>272</v>
      </c>
      <c r="B57" s="114" t="s">
        <v>143</v>
      </c>
      <c r="C57" s="4" t="s">
        <v>273</v>
      </c>
      <c r="D57" s="115">
        <v>0.81</v>
      </c>
      <c r="E57" t="s">
        <v>264</v>
      </c>
      <c r="F57" s="4" t="s">
        <v>181</v>
      </c>
      <c r="G57" s="4" t="s">
        <v>266</v>
      </c>
      <c r="H57" s="124">
        <v>5.1480144404332118E-3</v>
      </c>
      <c r="I57" s="124">
        <v>0.1299638989169675</v>
      </c>
      <c r="J57" s="125">
        <v>9.1864259927797828E-2</v>
      </c>
      <c r="K57" s="125">
        <v>3.2967299611507714E-3</v>
      </c>
      <c r="L57" s="125">
        <v>3.2967299611507714E-3</v>
      </c>
      <c r="M57" s="125">
        <v>1.7686956241573892E-4</v>
      </c>
      <c r="N57" s="125">
        <v>3.2335426368953818E-3</v>
      </c>
      <c r="O57" s="120" t="s">
        <v>274</v>
      </c>
    </row>
    <row r="58" spans="1:15" x14ac:dyDescent="0.25">
      <c r="A58" t="s">
        <v>275</v>
      </c>
      <c r="B58" s="114" t="s">
        <v>276</v>
      </c>
      <c r="C58" s="4">
        <v>2104004000</v>
      </c>
      <c r="D58" s="115">
        <v>0.81</v>
      </c>
      <c r="F58" s="4" t="s">
        <v>277</v>
      </c>
      <c r="G58" s="4" t="s">
        <v>266</v>
      </c>
      <c r="H58" s="124">
        <v>5.2045695098361247E-3</v>
      </c>
      <c r="I58" s="124">
        <v>0.13139165662980401</v>
      </c>
      <c r="J58" s="125">
        <v>0.21097542853096343</v>
      </c>
      <c r="K58" s="124">
        <v>2.9198145917734225E-3</v>
      </c>
      <c r="L58" s="124">
        <v>2.9198145917734225E-3</v>
      </c>
      <c r="M58" s="125">
        <v>1.7881261647928638E-4</v>
      </c>
      <c r="N58" s="125">
        <v>3.2690656973612931E-3</v>
      </c>
      <c r="O58" s="120" t="s">
        <v>278</v>
      </c>
    </row>
    <row r="59" spans="1:15" x14ac:dyDescent="0.25">
      <c r="A59" t="s">
        <v>279</v>
      </c>
      <c r="B59" s="114" t="s">
        <v>280</v>
      </c>
      <c r="C59" s="4">
        <v>2104007000</v>
      </c>
      <c r="D59" s="115">
        <v>0.81</v>
      </c>
      <c r="F59" s="4" t="s">
        <v>178</v>
      </c>
      <c r="G59" s="4" t="s">
        <v>266</v>
      </c>
      <c r="H59" s="124">
        <v>5.703999999999999E-3</v>
      </c>
      <c r="I59" s="124">
        <v>8.9371272298833668E-2</v>
      </c>
      <c r="J59" s="125">
        <v>0.23122063065279469</v>
      </c>
      <c r="K59" s="124">
        <v>3.6527767969550548E-3</v>
      </c>
      <c r="L59" s="124">
        <v>3.6527767969550548E-3</v>
      </c>
      <c r="M59" s="125">
        <v>1.9597147515663872E-4</v>
      </c>
      <c r="N59" s="125">
        <v>3.582765241680083E-3</v>
      </c>
      <c r="O59" s="120" t="s">
        <v>281</v>
      </c>
    </row>
    <row r="60" spans="1:15" x14ac:dyDescent="0.25">
      <c r="A60" t="s">
        <v>282</v>
      </c>
      <c r="B60" s="114" t="s">
        <v>144</v>
      </c>
      <c r="C60" s="4">
        <v>2104006010</v>
      </c>
      <c r="D60" s="115">
        <v>0.81</v>
      </c>
      <c r="F60" s="4" t="s">
        <v>192</v>
      </c>
      <c r="G60" s="4" t="s">
        <v>283</v>
      </c>
      <c r="H60" s="124">
        <v>5.4187192118226599E-3</v>
      </c>
      <c r="I60" s="124">
        <v>9.2610837438423646E-2</v>
      </c>
      <c r="J60" s="124">
        <v>5.9113300492610833E-4</v>
      </c>
      <c r="K60" s="124">
        <v>7.4876847290640397E-3</v>
      </c>
      <c r="L60" s="124">
        <v>7.4876847290640397E-3</v>
      </c>
      <c r="M60" s="124">
        <v>1.9704433497536946E-2</v>
      </c>
      <c r="N60" s="124">
        <v>3.9408866995073892E-2</v>
      </c>
      <c r="O60" t="s">
        <v>284</v>
      </c>
    </row>
    <row r="61" spans="1:15" x14ac:dyDescent="0.25">
      <c r="A61" t="s">
        <v>285</v>
      </c>
      <c r="B61" s="114" t="s">
        <v>145</v>
      </c>
      <c r="C61" s="4">
        <v>2103006000</v>
      </c>
      <c r="D61" s="115">
        <v>0.81</v>
      </c>
      <c r="F61" s="4" t="s">
        <v>192</v>
      </c>
      <c r="G61" s="4" t="s">
        <v>283</v>
      </c>
      <c r="H61" s="124">
        <v>5.4187192118226599E-3</v>
      </c>
      <c r="I61" s="124">
        <v>9.8522167487684734E-2</v>
      </c>
      <c r="J61" s="124">
        <v>5.9113300492610833E-4</v>
      </c>
      <c r="K61" s="124">
        <v>7.4876847290640397E-3</v>
      </c>
      <c r="L61" s="124">
        <v>7.4876847290640397E-3</v>
      </c>
      <c r="M61" s="124">
        <v>1.9704433497536946E-2</v>
      </c>
      <c r="N61" s="124">
        <v>3.9408866995073892E-2</v>
      </c>
      <c r="O61" t="s">
        <v>284</v>
      </c>
    </row>
    <row r="62" spans="1:15" x14ac:dyDescent="0.25">
      <c r="A62" t="s">
        <v>286</v>
      </c>
      <c r="B62" s="114" t="s">
        <v>146</v>
      </c>
      <c r="C62" s="4">
        <v>2104002000</v>
      </c>
      <c r="D62" s="115">
        <v>0.43</v>
      </c>
      <c r="E62" t="s">
        <v>287</v>
      </c>
      <c r="F62" s="4" t="s">
        <v>195</v>
      </c>
      <c r="G62" s="4" t="s">
        <v>288</v>
      </c>
      <c r="H62" s="124">
        <v>0.65789473684210531</v>
      </c>
      <c r="I62" s="125">
        <v>0.31052631578947371</v>
      </c>
      <c r="J62" s="124">
        <v>0.61184210526315785</v>
      </c>
      <c r="K62" s="125">
        <v>0.5256578947368421</v>
      </c>
      <c r="L62" s="125">
        <v>0.5256578947368421</v>
      </c>
      <c r="M62" s="125">
        <v>8.3286184210526332E-2</v>
      </c>
      <c r="N62" s="125">
        <v>8.5904605263157894</v>
      </c>
      <c r="O62" s="120" t="s">
        <v>289</v>
      </c>
    </row>
    <row r="63" spans="1:15" x14ac:dyDescent="0.25">
      <c r="A63" t="s">
        <v>290</v>
      </c>
      <c r="B63" s="114" t="s">
        <v>149</v>
      </c>
      <c r="C63" s="4" t="s">
        <v>291</v>
      </c>
      <c r="D63" s="4" t="s">
        <v>150</v>
      </c>
      <c r="F63" s="4" t="s">
        <v>181</v>
      </c>
      <c r="G63" s="4" t="s">
        <v>266</v>
      </c>
      <c r="H63" s="124">
        <v>7.2202166064981952E-3</v>
      </c>
      <c r="I63" s="125">
        <v>0.37693099395384777</v>
      </c>
      <c r="J63" s="125">
        <v>0.26689697964980835</v>
      </c>
      <c r="K63" s="125">
        <v>3.7575325985579236E-2</v>
      </c>
      <c r="L63" s="125">
        <v>3.7575325985579236E-2</v>
      </c>
      <c r="M63" s="125">
        <v>2.6269078644246729E-4</v>
      </c>
      <c r="N63" s="125">
        <v>8.9732121756607122E-2</v>
      </c>
      <c r="O63" s="120" t="s">
        <v>292</v>
      </c>
    </row>
    <row r="64" spans="1:15" x14ac:dyDescent="0.25">
      <c r="A64" t="s">
        <v>293</v>
      </c>
      <c r="B64" t="s">
        <v>150</v>
      </c>
      <c r="C64" s="4" t="s">
        <v>150</v>
      </c>
      <c r="D64" s="4" t="s">
        <v>150</v>
      </c>
    </row>
    <row r="67" spans="4:14" ht="15.75" x14ac:dyDescent="0.25">
      <c r="D67" s="260" t="s">
        <v>294</v>
      </c>
      <c r="E67" s="260"/>
      <c r="F67" s="260"/>
      <c r="G67" s="260"/>
      <c r="H67" s="260"/>
      <c r="I67" s="260"/>
      <c r="J67" s="260"/>
      <c r="K67" s="260"/>
      <c r="L67" s="260"/>
      <c r="M67" s="260"/>
      <c r="N67" s="260"/>
    </row>
    <row r="68" spans="4:14" ht="15.75" x14ac:dyDescent="0.25">
      <c r="D68" s="271" t="s">
        <v>295</v>
      </c>
      <c r="E68" s="260"/>
      <c r="F68" s="260"/>
      <c r="G68" s="260"/>
      <c r="H68" s="260"/>
      <c r="I68" s="260"/>
      <c r="J68" s="260"/>
      <c r="K68" s="260"/>
      <c r="L68" s="260"/>
      <c r="M68" s="260"/>
      <c r="N68" s="260"/>
    </row>
    <row r="69" spans="4:14" x14ac:dyDescent="0.25">
      <c r="F69" s="4" t="s">
        <v>296</v>
      </c>
      <c r="H69" s="257" t="s">
        <v>297</v>
      </c>
      <c r="I69" s="257"/>
      <c r="J69" s="257"/>
      <c r="K69" s="257"/>
      <c r="L69" s="257"/>
      <c r="M69" s="257"/>
      <c r="N69" s="257"/>
    </row>
    <row r="70" spans="4:14" ht="15.75" thickBot="1" x14ac:dyDescent="0.3">
      <c r="D70" s="74" t="s">
        <v>153</v>
      </c>
      <c r="E70" s="74" t="s">
        <v>298</v>
      </c>
      <c r="F70" s="74" t="s">
        <v>118</v>
      </c>
      <c r="G70" s="74"/>
      <c r="H70" s="74" t="s">
        <v>27</v>
      </c>
      <c r="I70" s="74" t="s">
        <v>28</v>
      </c>
      <c r="J70" s="74" t="s">
        <v>29</v>
      </c>
      <c r="K70" s="74" t="s">
        <v>30</v>
      </c>
      <c r="L70" s="126" t="s">
        <v>31</v>
      </c>
      <c r="M70" s="74" t="s">
        <v>32</v>
      </c>
      <c r="N70" s="74" t="s">
        <v>33</v>
      </c>
    </row>
    <row r="71" spans="4:14" ht="15.75" thickTop="1" x14ac:dyDescent="0.25">
      <c r="D71" s="4" t="s">
        <v>107</v>
      </c>
      <c r="E71" t="str">
        <f>A37</f>
        <v>Fireplace, No Insert</v>
      </c>
      <c r="F71" s="48">
        <f>D37</f>
        <v>7.0000000000000007E-2</v>
      </c>
      <c r="H71" s="33">
        <f>H37/$D37</f>
        <v>189.09991742361683</v>
      </c>
      <c r="I71" s="33">
        <f t="shared" ref="I71:N71" si="0">I37/$D37</f>
        <v>2.1469859620148637</v>
      </c>
      <c r="J71" s="33">
        <f t="shared" si="0"/>
        <v>0.33030553261767132</v>
      </c>
      <c r="K71" s="33">
        <f t="shared" si="0"/>
        <v>28.571428571428569</v>
      </c>
      <c r="L71" s="127">
        <f t="shared" si="0"/>
        <v>28.571428571428569</v>
      </c>
      <c r="M71" s="33">
        <f t="shared" si="0"/>
        <v>1.4863748967795209</v>
      </c>
      <c r="N71" s="33">
        <f t="shared" si="0"/>
        <v>208.58794384805941</v>
      </c>
    </row>
    <row r="72" spans="4:14" x14ac:dyDescent="0.25">
      <c r="D72" s="4" t="s">
        <v>107</v>
      </c>
      <c r="E72" t="str">
        <f t="shared" ref="E72:E83" si="1">A38</f>
        <v>Fireplace, With Insert - Non-EPA Certified</v>
      </c>
      <c r="F72" s="48">
        <f t="shared" ref="F72:F83" si="2">D38</f>
        <v>0.4</v>
      </c>
      <c r="H72" s="33">
        <f t="shared" ref="H72:N83" si="3">H38/$D38</f>
        <v>7.6589595375722537</v>
      </c>
      <c r="I72" s="33">
        <f t="shared" si="3"/>
        <v>0.40462427745664731</v>
      </c>
      <c r="J72" s="33">
        <f t="shared" si="3"/>
        <v>5.7803468208092477E-2</v>
      </c>
      <c r="K72" s="33">
        <f t="shared" si="3"/>
        <v>4.4219653179190752</v>
      </c>
      <c r="L72" s="127">
        <f t="shared" si="3"/>
        <v>4.4219653179190752</v>
      </c>
      <c r="M72" s="33">
        <f t="shared" si="3"/>
        <v>0.24566473988439302</v>
      </c>
      <c r="N72" s="33">
        <f t="shared" si="3"/>
        <v>33.352601156069362</v>
      </c>
    </row>
    <row r="73" spans="4:14" x14ac:dyDescent="0.25">
      <c r="D73" s="4" t="s">
        <v>107</v>
      </c>
      <c r="E73" t="str">
        <f t="shared" si="1"/>
        <v>Fireplace, With Insert - EPA Certified Non-Catalytic</v>
      </c>
      <c r="F73" s="48">
        <f t="shared" si="2"/>
        <v>0.66</v>
      </c>
      <c r="H73" s="33">
        <f t="shared" si="3"/>
        <v>1.0509721492380451</v>
      </c>
      <c r="I73" s="33">
        <f t="shared" si="3"/>
        <v>0.17516202487300753</v>
      </c>
      <c r="J73" s="33">
        <f t="shared" si="3"/>
        <v>3.50324049746015E-2</v>
      </c>
      <c r="K73" s="33">
        <f t="shared" si="3"/>
        <v>2.6799789805570153</v>
      </c>
      <c r="L73" s="127">
        <f t="shared" si="3"/>
        <v>1.0509721492380451</v>
      </c>
      <c r="M73" s="33">
        <f t="shared" si="3"/>
        <v>7.8822911192853382E-2</v>
      </c>
      <c r="N73" s="33">
        <f t="shared" si="3"/>
        <v>12.331406551059729</v>
      </c>
    </row>
    <row r="74" spans="4:14" x14ac:dyDescent="0.25">
      <c r="D74" s="4" t="s">
        <v>107</v>
      </c>
      <c r="E74" t="str">
        <f t="shared" si="1"/>
        <v>Fireplace, With Insert - EPA Certified Catalytic</v>
      </c>
      <c r="F74" s="48">
        <f t="shared" si="2"/>
        <v>0.7</v>
      </c>
      <c r="H74" s="33">
        <f t="shared" si="3"/>
        <v>1.2386457473162675</v>
      </c>
      <c r="I74" s="33">
        <f t="shared" si="3"/>
        <v>0.16515276630883569</v>
      </c>
      <c r="J74" s="33">
        <f t="shared" si="3"/>
        <v>3.3030553261767133E-2</v>
      </c>
      <c r="K74" s="33">
        <f t="shared" si="3"/>
        <v>1.0734929810074318</v>
      </c>
      <c r="L74" s="127">
        <f t="shared" si="3"/>
        <v>1.0734929810074318</v>
      </c>
      <c r="M74" s="33">
        <f t="shared" si="3"/>
        <v>7.4318744838976061E-2</v>
      </c>
      <c r="N74" s="33">
        <f t="shared" si="3"/>
        <v>8.8356729975227086</v>
      </c>
    </row>
    <row r="75" spans="4:14" x14ac:dyDescent="0.25">
      <c r="D75" s="4" t="s">
        <v>107</v>
      </c>
      <c r="E75" t="str">
        <f t="shared" si="1"/>
        <v>Woodstove - Non-EPA Certified</v>
      </c>
      <c r="F75" s="48">
        <f t="shared" si="2"/>
        <v>0.54</v>
      </c>
      <c r="H75" s="33">
        <f t="shared" si="3"/>
        <v>5.6733033611646322</v>
      </c>
      <c r="I75" s="33">
        <f t="shared" si="3"/>
        <v>0.15544237136380301</v>
      </c>
      <c r="J75" s="33">
        <f t="shared" si="3"/>
        <v>4.2817383857846281E-2</v>
      </c>
      <c r="K75" s="33">
        <f t="shared" si="3"/>
        <v>1.299724832516908</v>
      </c>
      <c r="L75" s="127">
        <f t="shared" si="3"/>
        <v>1.299724832516908</v>
      </c>
      <c r="M75" s="33">
        <f t="shared" si="3"/>
        <v>4.2499309059533252E-2</v>
      </c>
      <c r="N75" s="33">
        <f t="shared" si="3"/>
        <v>12.970524694783993</v>
      </c>
    </row>
    <row r="76" spans="4:14" x14ac:dyDescent="0.25">
      <c r="D76" s="4" t="s">
        <v>107</v>
      </c>
      <c r="E76" t="str">
        <f t="shared" si="1"/>
        <v>Woodstove - EPA Certified Non-Catalytic</v>
      </c>
      <c r="F76" s="48">
        <f t="shared" si="2"/>
        <v>0.68</v>
      </c>
      <c r="H76" s="33">
        <f t="shared" si="3"/>
        <v>1.0200612036722203</v>
      </c>
      <c r="I76" s="33">
        <f t="shared" si="3"/>
        <v>0.13675957465467117</v>
      </c>
      <c r="J76" s="33">
        <f t="shared" si="3"/>
        <v>3.4002040122407338E-2</v>
      </c>
      <c r="K76" s="33">
        <f t="shared" si="3"/>
        <v>0.67367606773746747</v>
      </c>
      <c r="L76" s="127">
        <f t="shared" si="3"/>
        <v>0.67367606773746747</v>
      </c>
      <c r="M76" s="33">
        <f t="shared" si="3"/>
        <v>2.1229321351241379E-2</v>
      </c>
      <c r="N76" s="33">
        <f t="shared" si="3"/>
        <v>10.510111228503423</v>
      </c>
    </row>
    <row r="77" spans="4:14" x14ac:dyDescent="0.25">
      <c r="D77" s="4" t="s">
        <v>107</v>
      </c>
      <c r="E77" t="str">
        <f t="shared" si="1"/>
        <v>Woodstove - EPA Certified Catalytic</v>
      </c>
      <c r="F77" s="48">
        <f t="shared" si="2"/>
        <v>0.72</v>
      </c>
      <c r="H77" s="33">
        <f t="shared" si="3"/>
        <v>1.2042389210019269</v>
      </c>
      <c r="I77" s="33">
        <f t="shared" si="3"/>
        <v>0.12916182050718947</v>
      </c>
      <c r="J77" s="33">
        <f t="shared" si="3"/>
        <v>3.211303789338471E-2</v>
      </c>
      <c r="K77" s="33">
        <f t="shared" si="3"/>
        <v>0.70597560523172997</v>
      </c>
      <c r="L77" s="127">
        <f t="shared" si="3"/>
        <v>0.24874364912249888</v>
      </c>
      <c r="M77" s="33">
        <f t="shared" si="3"/>
        <v>6.0404369928801424E-3</v>
      </c>
      <c r="N77" s="33">
        <f t="shared" si="3"/>
        <v>0.8346357848258984</v>
      </c>
    </row>
    <row r="78" spans="4:14" x14ac:dyDescent="0.25">
      <c r="D78" s="4" t="s">
        <v>107</v>
      </c>
      <c r="E78" t="str">
        <f t="shared" si="1"/>
        <v>Pellet Stove (Exempt)</v>
      </c>
      <c r="F78" s="48">
        <f t="shared" si="2"/>
        <v>0.56000000000000005</v>
      </c>
      <c r="H78" s="33">
        <f t="shared" si="3"/>
        <v>0.24772914946325347</v>
      </c>
      <c r="I78" s="33">
        <f t="shared" si="3"/>
        <v>0.43261226543331893</v>
      </c>
      <c r="J78" s="33">
        <f t="shared" si="3"/>
        <v>3.4574406827837682E-2</v>
      </c>
      <c r="K78" s="33">
        <f t="shared" si="3"/>
        <v>0.31981326315749853</v>
      </c>
      <c r="L78" s="127">
        <f t="shared" si="3"/>
        <v>0.31981326315749853</v>
      </c>
      <c r="M78" s="33">
        <f t="shared" si="3"/>
        <v>7.7662761337030399E-3</v>
      </c>
      <c r="N78" s="33">
        <f t="shared" si="3"/>
        <v>1.073103151919012</v>
      </c>
    </row>
    <row r="79" spans="4:14" x14ac:dyDescent="0.25">
      <c r="D79" s="4" t="s">
        <v>107</v>
      </c>
      <c r="E79" t="str">
        <f t="shared" si="1"/>
        <v>Pellet Stove (EPA Certified)</v>
      </c>
      <c r="F79" s="48">
        <f t="shared" si="2"/>
        <v>0.78</v>
      </c>
      <c r="H79" s="33">
        <f t="shared" si="3"/>
        <v>0.17785682525566915</v>
      </c>
      <c r="I79" s="33">
        <f t="shared" si="3"/>
        <v>0.31059342133674178</v>
      </c>
      <c r="J79" s="33">
        <f t="shared" si="3"/>
        <v>2.4822651055883462E-2</v>
      </c>
      <c r="K79" s="33">
        <f t="shared" si="3"/>
        <v>0.22960952226692205</v>
      </c>
      <c r="L79" s="127">
        <f t="shared" si="3"/>
        <v>0.22960952226692205</v>
      </c>
      <c r="M79" s="33">
        <f t="shared" si="3"/>
        <v>5.5757879934278231E-3</v>
      </c>
      <c r="N79" s="33">
        <f t="shared" si="3"/>
        <v>0.770433032146983</v>
      </c>
    </row>
    <row r="80" spans="4:14" x14ac:dyDescent="0.25">
      <c r="D80" s="4" t="s">
        <v>107</v>
      </c>
      <c r="E80" t="str">
        <f t="shared" si="1"/>
        <v>OWB (Hydronic Heater) - 80/20 Unqual/Phase 2 Wtd</v>
      </c>
      <c r="F80" s="48">
        <f t="shared" si="2"/>
        <v>0.43</v>
      </c>
      <c r="H80" s="33">
        <f t="shared" si="3"/>
        <v>6.1029708294125564</v>
      </c>
      <c r="I80" s="33">
        <f t="shared" si="3"/>
        <v>0.21679439570610612</v>
      </c>
      <c r="J80" s="33">
        <f t="shared" si="3"/>
        <v>5.3770668100551158E-2</v>
      </c>
      <c r="K80" s="33">
        <f t="shared" si="3"/>
        <v>1.3268116788958113</v>
      </c>
      <c r="L80" s="127">
        <f t="shared" si="3"/>
        <v>1.3268116788958113</v>
      </c>
      <c r="M80" s="33">
        <f t="shared" si="3"/>
        <v>3.2767652854291347E-2</v>
      </c>
      <c r="N80" s="33">
        <f t="shared" si="3"/>
        <v>8.1423130107544122</v>
      </c>
    </row>
    <row r="81" spans="4:14" x14ac:dyDescent="0.25">
      <c r="D81" s="4" t="s">
        <v>107</v>
      </c>
      <c r="E81" t="str">
        <f t="shared" si="1"/>
        <v>OWB (Hydronic Heater) - Unqualified</v>
      </c>
      <c r="F81" s="48">
        <f t="shared" si="2"/>
        <v>0.43</v>
      </c>
      <c r="H81" s="33">
        <f t="shared" si="3"/>
        <v>7.1246135233230268</v>
      </c>
      <c r="I81" s="33">
        <f t="shared" si="3"/>
        <v>0.19840081127369652</v>
      </c>
      <c r="J81" s="33">
        <f t="shared" si="3"/>
        <v>5.3770668100551144E-2</v>
      </c>
      <c r="K81" s="33">
        <f t="shared" si="3"/>
        <v>1.4848757459742818</v>
      </c>
      <c r="L81" s="127">
        <f t="shared" si="3"/>
        <v>1.4848757459742818</v>
      </c>
      <c r="M81" s="33">
        <f t="shared" si="3"/>
        <v>3.6739327534441243E-2</v>
      </c>
      <c r="N81" s="33">
        <f t="shared" si="3"/>
        <v>7.4336984819782863</v>
      </c>
    </row>
    <row r="82" spans="4:14" x14ac:dyDescent="0.25">
      <c r="D82" s="4" t="s">
        <v>107</v>
      </c>
      <c r="E82" t="str">
        <f t="shared" si="1"/>
        <v>OWB (Hydronic Heater) - Phase 1</v>
      </c>
      <c r="F82" s="48">
        <f t="shared" si="2"/>
        <v>0.43</v>
      </c>
      <c r="H82" s="33">
        <f t="shared" si="3"/>
        <v>1.6131200430165344</v>
      </c>
      <c r="I82" s="33">
        <f t="shared" si="3"/>
        <v>0.29036873343574471</v>
      </c>
      <c r="J82" s="33">
        <f t="shared" si="3"/>
        <v>5.3770668100551144E-2</v>
      </c>
      <c r="K82" s="33">
        <f t="shared" si="3"/>
        <v>1.3083485641194479</v>
      </c>
      <c r="L82" s="127">
        <f t="shared" si="3"/>
        <v>1.3083485641194479</v>
      </c>
      <c r="M82" s="33">
        <f t="shared" si="3"/>
        <v>1.6880954133691749E-2</v>
      </c>
      <c r="N82" s="33">
        <f t="shared" si="3"/>
        <v>14.444199761877892</v>
      </c>
    </row>
    <row r="83" spans="4:14" x14ac:dyDescent="0.25">
      <c r="D83" s="4" t="s">
        <v>107</v>
      </c>
      <c r="E83" t="str">
        <f t="shared" si="1"/>
        <v>OWB (Hydronic Heater) - Phase 2</v>
      </c>
      <c r="F83" s="48">
        <f t="shared" si="2"/>
        <v>0.43</v>
      </c>
      <c r="H83" s="33">
        <f t="shared" si="3"/>
        <v>2.0164000537706683</v>
      </c>
      <c r="I83" s="33">
        <f t="shared" si="3"/>
        <v>0.29036873343574471</v>
      </c>
      <c r="J83" s="33">
        <f t="shared" si="3"/>
        <v>5.3770668100551144E-2</v>
      </c>
      <c r="K83" s="33">
        <f t="shared" si="3"/>
        <v>0.69455541058192904</v>
      </c>
      <c r="L83" s="127">
        <f t="shared" si="3"/>
        <v>0.69455541058192904</v>
      </c>
      <c r="M83" s="33">
        <f t="shared" si="3"/>
        <v>1.6880954133691749E-2</v>
      </c>
      <c r="N83" s="33">
        <f t="shared" si="3"/>
        <v>10.976771125858908</v>
      </c>
    </row>
    <row r="84" spans="4:14" x14ac:dyDescent="0.25">
      <c r="D84" s="4" t="s">
        <v>195</v>
      </c>
      <c r="E84" t="str">
        <f>A62</f>
        <v>Coal Boiler (bituminous/subbituminous, hand-fed)</v>
      </c>
      <c r="F84" s="48">
        <f>D62</f>
        <v>0.43</v>
      </c>
      <c r="H84" s="33">
        <f t="shared" ref="H84:N84" si="4">H62/$D62</f>
        <v>1.5299877600979193</v>
      </c>
      <c r="I84" s="33">
        <f t="shared" si="4"/>
        <v>0.72215422276621788</v>
      </c>
      <c r="J84" s="33">
        <f t="shared" si="4"/>
        <v>1.4228886168910648</v>
      </c>
      <c r="K84" s="33">
        <f t="shared" si="4"/>
        <v>1.2224602203182375</v>
      </c>
      <c r="L84" s="127">
        <f t="shared" si="4"/>
        <v>1.2224602203182375</v>
      </c>
      <c r="M84" s="33">
        <f t="shared" si="4"/>
        <v>0.19368880048959614</v>
      </c>
      <c r="N84" s="33">
        <f t="shared" si="4"/>
        <v>19.977815177478579</v>
      </c>
    </row>
    <row r="85" spans="4:14" x14ac:dyDescent="0.25">
      <c r="D85" s="4" t="s">
        <v>106</v>
      </c>
      <c r="E85" t="str">
        <f>A54</f>
        <v>Central Oil (Weighted # 1 &amp; #2), Residential</v>
      </c>
      <c r="F85" s="48">
        <f>D54</f>
        <v>0.81</v>
      </c>
      <c r="H85" s="33">
        <f>H54/$D54</f>
        <v>6.5203475080018274E-3</v>
      </c>
      <c r="I85" s="33">
        <f t="shared" ref="I85:N87" si="5">I54/$D54</f>
        <v>0.10216194821540199</v>
      </c>
      <c r="J85" s="33">
        <f t="shared" si="5"/>
        <v>0.26431256361773509</v>
      </c>
      <c r="K85" s="33">
        <f t="shared" si="5"/>
        <v>4.1755564665695638E-3</v>
      </c>
      <c r="L85" s="127">
        <f t="shared" si="5"/>
        <v>4.1755564665695638E-3</v>
      </c>
      <c r="M85" s="33">
        <f t="shared" si="5"/>
        <v>2.2401860443145715E-4</v>
      </c>
      <c r="N85" s="33">
        <f t="shared" si="5"/>
        <v>4.09552496762698E-3</v>
      </c>
    </row>
    <row r="86" spans="4:14" x14ac:dyDescent="0.25">
      <c r="D86" s="4" t="s">
        <v>106</v>
      </c>
      <c r="E86" t="str">
        <f>A55</f>
        <v>Central Oil (#1 distillate), Residential</v>
      </c>
      <c r="F86" s="48">
        <f>D55</f>
        <v>0.81</v>
      </c>
      <c r="H86" s="33">
        <f>H55/$D55</f>
        <v>7.0419753086419738E-3</v>
      </c>
      <c r="I86" s="33">
        <f t="shared" si="5"/>
        <v>0.11033490407263415</v>
      </c>
      <c r="J86" s="33">
        <f t="shared" si="5"/>
        <v>0.12566123456790124</v>
      </c>
      <c r="K86" s="33">
        <f t="shared" si="5"/>
        <v>4.5096009838951293E-3</v>
      </c>
      <c r="L86" s="127">
        <f t="shared" si="5"/>
        <v>4.5096009838951293E-3</v>
      </c>
      <c r="M86" s="33">
        <f t="shared" si="5"/>
        <v>2.4194009278597371E-4</v>
      </c>
      <c r="N86" s="33">
        <f t="shared" si="5"/>
        <v>4.4231669650371388E-3</v>
      </c>
    </row>
    <row r="87" spans="4:14" x14ac:dyDescent="0.25">
      <c r="D87" s="4" t="s">
        <v>106</v>
      </c>
      <c r="E87" t="str">
        <f>A56</f>
        <v>Central Oil (#2 distillate), Residential</v>
      </c>
      <c r="F87" s="48">
        <f>D56</f>
        <v>0.81</v>
      </c>
      <c r="H87" s="33">
        <f>H56/$D56</f>
        <v>6.3555733832508787E-3</v>
      </c>
      <c r="I87" s="33">
        <f t="shared" si="5"/>
        <v>9.9580238332702298E-2</v>
      </c>
      <c r="J87" s="33">
        <f t="shared" si="5"/>
        <v>0.32479565004234073</v>
      </c>
      <c r="K87" s="33">
        <f t="shared" si="5"/>
        <v>4.0700369890750258E-3</v>
      </c>
      <c r="L87" s="127">
        <f t="shared" si="5"/>
        <v>4.0700369890750258E-3</v>
      </c>
      <c r="M87" s="33">
        <f t="shared" si="5"/>
        <v>2.1835748446387518E-4</v>
      </c>
      <c r="N87" s="33">
        <f t="shared" si="5"/>
        <v>3.9920279467844213E-3</v>
      </c>
    </row>
    <row r="88" spans="4:14" x14ac:dyDescent="0.25">
      <c r="D88" s="4" t="s">
        <v>106</v>
      </c>
      <c r="E88" t="str">
        <f>A58</f>
        <v>Portable: 43% Kerosene &amp; 57% Fuel Oil</v>
      </c>
      <c r="F88" s="48">
        <f>D58</f>
        <v>0.81</v>
      </c>
      <c r="H88" s="33">
        <f t="shared" ref="H88:N91" si="6">H58/$D58</f>
        <v>6.4253944565878076E-3</v>
      </c>
      <c r="I88" s="33">
        <f t="shared" si="6"/>
        <v>0.16221192176519011</v>
      </c>
      <c r="J88" s="33">
        <f t="shared" si="6"/>
        <v>0.26046349201353508</v>
      </c>
      <c r="K88" s="33">
        <f t="shared" si="6"/>
        <v>3.6047093725597805E-3</v>
      </c>
      <c r="L88" s="127">
        <f t="shared" si="6"/>
        <v>3.6047093725597805E-3</v>
      </c>
      <c r="M88" s="33">
        <f t="shared" si="6"/>
        <v>2.207563166410943E-4</v>
      </c>
      <c r="N88" s="33">
        <f t="shared" si="6"/>
        <v>4.0358835769892503E-3</v>
      </c>
    </row>
    <row r="89" spans="4:14" x14ac:dyDescent="0.25">
      <c r="D89" s="4" t="s">
        <v>106</v>
      </c>
      <c r="E89" t="str">
        <f>A59</f>
        <v>Direct Vent</v>
      </c>
      <c r="F89" s="48">
        <f>D59</f>
        <v>0.81</v>
      </c>
      <c r="H89" s="33">
        <f t="shared" si="6"/>
        <v>7.0419753086419738E-3</v>
      </c>
      <c r="I89" s="33">
        <f t="shared" si="6"/>
        <v>0.11033490407263415</v>
      </c>
      <c r="J89" s="33">
        <f t="shared" si="6"/>
        <v>0.28545756870715394</v>
      </c>
      <c r="K89" s="33">
        <f t="shared" si="6"/>
        <v>4.5096009838951293E-3</v>
      </c>
      <c r="L89" s="127">
        <f t="shared" si="6"/>
        <v>4.5096009838951293E-3</v>
      </c>
      <c r="M89" s="33">
        <f t="shared" si="6"/>
        <v>2.4194009278597371E-4</v>
      </c>
      <c r="N89" s="33">
        <f t="shared" si="6"/>
        <v>4.4231669650371388E-3</v>
      </c>
    </row>
    <row r="90" spans="4:14" x14ac:dyDescent="0.25">
      <c r="D90" s="4" t="s">
        <v>299</v>
      </c>
      <c r="E90" t="str">
        <f>A60</f>
        <v>Natural Gas - Residential</v>
      </c>
      <c r="F90" s="48">
        <f>D60</f>
        <v>0.81</v>
      </c>
      <c r="H90" s="33">
        <f t="shared" si="6"/>
        <v>6.6897768047193325E-3</v>
      </c>
      <c r="I90" s="33">
        <f t="shared" si="6"/>
        <v>0.11433436720793042</v>
      </c>
      <c r="J90" s="33">
        <f t="shared" si="6"/>
        <v>7.2979383324210895E-4</v>
      </c>
      <c r="K90" s="33">
        <f t="shared" si="6"/>
        <v>9.2440552210667146E-3</v>
      </c>
      <c r="L90" s="127">
        <f t="shared" si="6"/>
        <v>9.2440552210667146E-3</v>
      </c>
      <c r="M90" s="33">
        <f t="shared" si="6"/>
        <v>2.4326461108070303E-2</v>
      </c>
      <c r="N90" s="33">
        <f t="shared" si="6"/>
        <v>4.8652922216140607E-2</v>
      </c>
    </row>
    <row r="91" spans="4:14" x14ac:dyDescent="0.25">
      <c r="D91" s="4" t="s">
        <v>299</v>
      </c>
      <c r="E91" t="str">
        <f>A61</f>
        <v>Natural Gas - Commercial, small uncontrolled</v>
      </c>
      <c r="F91" s="48">
        <f>D61</f>
        <v>0.81</v>
      </c>
      <c r="H91" s="33">
        <f t="shared" si="6"/>
        <v>6.6897768047193325E-3</v>
      </c>
      <c r="I91" s="33">
        <f t="shared" si="6"/>
        <v>0.12163230554035151</v>
      </c>
      <c r="J91" s="33">
        <f t="shared" si="6"/>
        <v>7.2979383324210895E-4</v>
      </c>
      <c r="K91" s="33">
        <f t="shared" si="6"/>
        <v>9.2440552210667146E-3</v>
      </c>
      <c r="L91" s="127">
        <f t="shared" si="6"/>
        <v>9.2440552210667146E-3</v>
      </c>
      <c r="M91" s="33">
        <f t="shared" si="6"/>
        <v>2.4326461108070303E-2</v>
      </c>
      <c r="N91" s="33">
        <f t="shared" si="6"/>
        <v>4.8652922216140607E-2</v>
      </c>
    </row>
    <row r="94" spans="4:14" ht="15.75" x14ac:dyDescent="0.25">
      <c r="D94" s="260" t="s">
        <v>294</v>
      </c>
      <c r="E94" s="260"/>
      <c r="F94" s="260"/>
      <c r="G94" s="260"/>
      <c r="H94" s="260"/>
      <c r="I94" s="260"/>
      <c r="J94" s="260"/>
      <c r="K94" s="260"/>
      <c r="L94" s="260"/>
      <c r="M94" s="260"/>
      <c r="N94" s="260"/>
    </row>
    <row r="95" spans="4:14" ht="15.75" x14ac:dyDescent="0.25">
      <c r="D95" s="271" t="s">
        <v>300</v>
      </c>
      <c r="E95" s="260"/>
      <c r="F95" s="260"/>
      <c r="G95" s="260"/>
      <c r="H95" s="260"/>
      <c r="I95" s="260"/>
      <c r="J95" s="260"/>
      <c r="K95" s="260"/>
      <c r="L95" s="260"/>
      <c r="M95" s="260"/>
      <c r="N95" s="260"/>
    </row>
    <row r="96" spans="4:14" x14ac:dyDescent="0.25">
      <c r="F96" s="4" t="s">
        <v>296</v>
      </c>
      <c r="H96" s="257" t="s">
        <v>297</v>
      </c>
      <c r="I96" s="257"/>
      <c r="J96" s="257"/>
      <c r="K96" s="257"/>
      <c r="L96" s="257"/>
      <c r="M96" s="257"/>
      <c r="N96" s="257"/>
    </row>
    <row r="97" spans="4:14" ht="15.75" thickBot="1" x14ac:dyDescent="0.3">
      <c r="D97" s="74" t="s">
        <v>153</v>
      </c>
      <c r="E97" s="74" t="s">
        <v>298</v>
      </c>
      <c r="F97" s="74" t="s">
        <v>118</v>
      </c>
      <c r="G97" s="74"/>
      <c r="H97" s="74" t="s">
        <v>27</v>
      </c>
      <c r="I97" s="74" t="s">
        <v>28</v>
      </c>
      <c r="J97" s="74" t="s">
        <v>29</v>
      </c>
      <c r="K97" s="74" t="s">
        <v>30</v>
      </c>
      <c r="L97" s="126" t="s">
        <v>31</v>
      </c>
      <c r="M97" s="74" t="s">
        <v>32</v>
      </c>
      <c r="N97" s="74" t="s">
        <v>33</v>
      </c>
    </row>
    <row r="98" spans="4:14" ht="15.75" thickTop="1" x14ac:dyDescent="0.25">
      <c r="D98" s="4" t="str">
        <f t="shared" ref="D98:F113" si="7">D71</f>
        <v>Wood</v>
      </c>
      <c r="E98" t="str">
        <f>E71</f>
        <v>Fireplace, No Insert</v>
      </c>
      <c r="F98" s="128">
        <f>F71</f>
        <v>7.0000000000000007E-2</v>
      </c>
      <c r="H98" s="33">
        <f t="shared" ref="H98:N110" si="8">H71*$C$4/$C$5</f>
        <v>226.91990090834022</v>
      </c>
      <c r="I98" s="33">
        <f t="shared" si="8"/>
        <v>2.5763831544178362</v>
      </c>
      <c r="J98" s="33">
        <f t="shared" si="8"/>
        <v>0.39636663914120562</v>
      </c>
      <c r="K98" s="33">
        <f t="shared" si="8"/>
        <v>34.285714285714285</v>
      </c>
      <c r="L98" s="127">
        <f t="shared" si="8"/>
        <v>34.285714285714285</v>
      </c>
      <c r="M98" s="33">
        <f t="shared" si="8"/>
        <v>1.7836498761354251</v>
      </c>
      <c r="N98" s="33">
        <f t="shared" si="8"/>
        <v>250.30553261767128</v>
      </c>
    </row>
    <row r="99" spans="4:14" x14ac:dyDescent="0.25">
      <c r="D99" s="4" t="str">
        <f t="shared" si="7"/>
        <v>Wood</v>
      </c>
      <c r="E99" t="str">
        <f t="shared" si="7"/>
        <v>Fireplace, With Insert - Non-EPA Certified</v>
      </c>
      <c r="F99" s="128">
        <f t="shared" si="7"/>
        <v>0.4</v>
      </c>
      <c r="H99" s="33">
        <f t="shared" si="8"/>
        <v>9.1907514450867041</v>
      </c>
      <c r="I99" s="33">
        <f t="shared" si="8"/>
        <v>0.48554913294797675</v>
      </c>
      <c r="J99" s="33">
        <f t="shared" si="8"/>
        <v>6.9364161849710976E-2</v>
      </c>
      <c r="K99" s="33">
        <f t="shared" si="8"/>
        <v>5.3063583815028901</v>
      </c>
      <c r="L99" s="127">
        <f t="shared" si="8"/>
        <v>5.3063583815028901</v>
      </c>
      <c r="M99" s="33">
        <f t="shared" si="8"/>
        <v>0.29479768786127158</v>
      </c>
      <c r="N99" s="33">
        <f t="shared" si="8"/>
        <v>40.023121387283233</v>
      </c>
    </row>
    <row r="100" spans="4:14" x14ac:dyDescent="0.25">
      <c r="D100" s="4" t="str">
        <f t="shared" si="7"/>
        <v>Wood</v>
      </c>
      <c r="E100" t="str">
        <f t="shared" si="7"/>
        <v>Fireplace, With Insert - EPA Certified Non-Catalytic</v>
      </c>
      <c r="F100" s="128">
        <f t="shared" si="7"/>
        <v>0.66</v>
      </c>
      <c r="H100" s="33">
        <f t="shared" si="8"/>
        <v>1.2611665790856539</v>
      </c>
      <c r="I100" s="33">
        <f t="shared" si="8"/>
        <v>0.21019442984760903</v>
      </c>
      <c r="J100" s="33">
        <f t="shared" si="8"/>
        <v>4.2038885969521801E-2</v>
      </c>
      <c r="K100" s="33">
        <f t="shared" si="8"/>
        <v>3.2159747766684186</v>
      </c>
      <c r="L100" s="127">
        <f t="shared" si="8"/>
        <v>1.2611665790856539</v>
      </c>
      <c r="M100" s="33">
        <f t="shared" si="8"/>
        <v>9.4587493431424058E-2</v>
      </c>
      <c r="N100" s="33">
        <f t="shared" si="8"/>
        <v>14.797687861271674</v>
      </c>
    </row>
    <row r="101" spans="4:14" x14ac:dyDescent="0.25">
      <c r="D101" s="4" t="str">
        <f t="shared" si="7"/>
        <v>Wood</v>
      </c>
      <c r="E101" t="str">
        <f t="shared" si="7"/>
        <v>Fireplace, With Insert - EPA Certified Catalytic</v>
      </c>
      <c r="F101" s="128">
        <f t="shared" si="7"/>
        <v>0.7</v>
      </c>
      <c r="H101" s="33">
        <f t="shared" si="8"/>
        <v>1.4863748967795212</v>
      </c>
      <c r="I101" s="33">
        <f t="shared" si="8"/>
        <v>0.19818331957060284</v>
      </c>
      <c r="J101" s="33">
        <f t="shared" si="8"/>
        <v>3.963666391412056E-2</v>
      </c>
      <c r="K101" s="33">
        <f t="shared" si="8"/>
        <v>1.2881915772089181</v>
      </c>
      <c r="L101" s="127">
        <f t="shared" si="8"/>
        <v>1.2881915772089181</v>
      </c>
      <c r="M101" s="33">
        <f t="shared" si="8"/>
        <v>8.9182493806771262E-2</v>
      </c>
      <c r="N101" s="33">
        <f t="shared" si="8"/>
        <v>10.602807597027251</v>
      </c>
    </row>
    <row r="102" spans="4:14" x14ac:dyDescent="0.25">
      <c r="D102" s="4" t="str">
        <f t="shared" si="7"/>
        <v>Wood</v>
      </c>
      <c r="E102" t="str">
        <f t="shared" si="7"/>
        <v>Woodstove - Non-EPA Certified</v>
      </c>
      <c r="F102" s="128">
        <f t="shared" si="7"/>
        <v>0.54</v>
      </c>
      <c r="H102" s="33">
        <f t="shared" si="8"/>
        <v>6.8079640333975586</v>
      </c>
      <c r="I102" s="33">
        <f t="shared" si="8"/>
        <v>0.18653084563656364</v>
      </c>
      <c r="J102" s="33">
        <f t="shared" si="8"/>
        <v>5.1380860629415541E-2</v>
      </c>
      <c r="K102" s="33">
        <f t="shared" si="8"/>
        <v>1.5596697990202895</v>
      </c>
      <c r="L102" s="127">
        <f t="shared" si="8"/>
        <v>1.5596697990202895</v>
      </c>
      <c r="M102" s="33">
        <f t="shared" si="8"/>
        <v>5.0999170871439903E-2</v>
      </c>
      <c r="N102" s="33">
        <f t="shared" si="8"/>
        <v>15.564629633740791</v>
      </c>
    </row>
    <row r="103" spans="4:14" x14ac:dyDescent="0.25">
      <c r="D103" s="4" t="str">
        <f t="shared" si="7"/>
        <v>Wood</v>
      </c>
      <c r="E103" t="str">
        <f t="shared" si="7"/>
        <v>Woodstove - EPA Certified Non-Catalytic</v>
      </c>
      <c r="F103" s="128">
        <f t="shared" si="7"/>
        <v>0.68</v>
      </c>
      <c r="H103" s="33">
        <f t="shared" si="8"/>
        <v>1.2240734444066643</v>
      </c>
      <c r="I103" s="33">
        <f t="shared" si="8"/>
        <v>0.1641114895856054</v>
      </c>
      <c r="J103" s="33">
        <f t="shared" si="8"/>
        <v>4.0802448146888805E-2</v>
      </c>
      <c r="K103" s="33">
        <f t="shared" si="8"/>
        <v>0.80841128128496098</v>
      </c>
      <c r="L103" s="127">
        <f t="shared" si="8"/>
        <v>0.80841128128496098</v>
      </c>
      <c r="M103" s="33">
        <f t="shared" si="8"/>
        <v>2.5475185621489652E-2</v>
      </c>
      <c r="N103" s="33">
        <f t="shared" si="8"/>
        <v>12.612133474204107</v>
      </c>
    </row>
    <row r="104" spans="4:14" x14ac:dyDescent="0.25">
      <c r="D104" s="4" t="str">
        <f t="shared" si="7"/>
        <v>Wood</v>
      </c>
      <c r="E104" t="str">
        <f t="shared" si="7"/>
        <v>Woodstove - EPA Certified Catalytic</v>
      </c>
      <c r="F104" s="128">
        <f t="shared" si="7"/>
        <v>0.72</v>
      </c>
      <c r="H104" s="33">
        <f t="shared" si="8"/>
        <v>1.4450867052023122</v>
      </c>
      <c r="I104" s="33">
        <f t="shared" si="8"/>
        <v>0.15499418460862738</v>
      </c>
      <c r="J104" s="33">
        <f t="shared" si="8"/>
        <v>3.8535645472061654E-2</v>
      </c>
      <c r="K104" s="33">
        <f t="shared" si="8"/>
        <v>0.84717072627807599</v>
      </c>
      <c r="L104" s="127">
        <f t="shared" si="8"/>
        <v>0.29849237894699865</v>
      </c>
      <c r="M104" s="33">
        <f t="shared" si="8"/>
        <v>7.2485243914561714E-3</v>
      </c>
      <c r="N104" s="33">
        <f t="shared" si="8"/>
        <v>1.0015629417910781</v>
      </c>
    </row>
    <row r="105" spans="4:14" x14ac:dyDescent="0.25">
      <c r="D105" s="4" t="str">
        <f t="shared" si="7"/>
        <v>Wood</v>
      </c>
      <c r="E105" t="str">
        <f t="shared" si="7"/>
        <v>Pellet Stove (Exempt)</v>
      </c>
      <c r="F105" s="128">
        <f t="shared" si="7"/>
        <v>0.56000000000000005</v>
      </c>
      <c r="H105" s="33">
        <f t="shared" si="8"/>
        <v>0.29727497935590419</v>
      </c>
      <c r="I105" s="33">
        <f t="shared" si="8"/>
        <v>0.51913471851998272</v>
      </c>
      <c r="J105" s="33">
        <f t="shared" si="8"/>
        <v>4.1489288193405222E-2</v>
      </c>
      <c r="K105" s="33">
        <f t="shared" si="8"/>
        <v>0.38377591578899822</v>
      </c>
      <c r="L105" s="127">
        <f t="shared" si="8"/>
        <v>0.38377591578899822</v>
      </c>
      <c r="M105" s="33">
        <f t="shared" si="8"/>
        <v>9.3195313604436478E-3</v>
      </c>
      <c r="N105" s="33">
        <f t="shared" si="8"/>
        <v>1.2877237823028145</v>
      </c>
    </row>
    <row r="106" spans="4:14" x14ac:dyDescent="0.25">
      <c r="D106" s="4" t="str">
        <f t="shared" si="7"/>
        <v>Wood</v>
      </c>
      <c r="E106" t="str">
        <f t="shared" si="7"/>
        <v>Pellet Stove (EPA Certified)</v>
      </c>
      <c r="F106" s="128">
        <f t="shared" si="7"/>
        <v>0.78</v>
      </c>
      <c r="H106" s="33">
        <f t="shared" si="8"/>
        <v>0.21342819030680299</v>
      </c>
      <c r="I106" s="33">
        <f t="shared" si="8"/>
        <v>0.37271210560409013</v>
      </c>
      <c r="J106" s="33">
        <f t="shared" si="8"/>
        <v>2.9787181267060155E-2</v>
      </c>
      <c r="K106" s="33">
        <f t="shared" si="8"/>
        <v>0.27553142672030645</v>
      </c>
      <c r="L106" s="127">
        <f t="shared" si="8"/>
        <v>0.27553142672030645</v>
      </c>
      <c r="M106" s="33">
        <f t="shared" si="8"/>
        <v>6.6909455921133872E-3</v>
      </c>
      <c r="N106" s="33">
        <f t="shared" si="8"/>
        <v>0.92451963857637964</v>
      </c>
    </row>
    <row r="107" spans="4:14" x14ac:dyDescent="0.25">
      <c r="D107" s="4" t="str">
        <f t="shared" si="7"/>
        <v>Wood</v>
      </c>
      <c r="E107" t="str">
        <f t="shared" si="7"/>
        <v>OWB (Hydronic Heater) - 80/20 Unqual/Phase 2 Wtd</v>
      </c>
      <c r="F107" s="128">
        <f t="shared" si="7"/>
        <v>0.43</v>
      </c>
      <c r="H107" s="33">
        <f t="shared" si="8"/>
        <v>7.3235649952950679</v>
      </c>
      <c r="I107" s="33">
        <f t="shared" si="8"/>
        <v>0.26015327484732736</v>
      </c>
      <c r="J107" s="33">
        <f t="shared" si="8"/>
        <v>6.4524801720661384E-2</v>
      </c>
      <c r="K107" s="33">
        <f t="shared" si="8"/>
        <v>1.5921740146749737</v>
      </c>
      <c r="L107" s="127">
        <f t="shared" si="8"/>
        <v>1.5921740146749737</v>
      </c>
      <c r="M107" s="33">
        <f t="shared" si="8"/>
        <v>3.932118342514962E-2</v>
      </c>
      <c r="N107" s="33">
        <f t="shared" si="8"/>
        <v>9.7707756129052949</v>
      </c>
    </row>
    <row r="108" spans="4:14" x14ac:dyDescent="0.25">
      <c r="D108" s="4" t="str">
        <f t="shared" si="7"/>
        <v>Wood</v>
      </c>
      <c r="E108" t="str">
        <f t="shared" si="7"/>
        <v>OWB (Hydronic Heater) - Unqualified</v>
      </c>
      <c r="F108" s="128">
        <f t="shared" si="7"/>
        <v>0.43</v>
      </c>
      <c r="H108" s="33">
        <f t="shared" si="8"/>
        <v>8.5495362279876321</v>
      </c>
      <c r="I108" s="33">
        <f t="shared" si="8"/>
        <v>0.2380809735284358</v>
      </c>
      <c r="J108" s="33">
        <f t="shared" si="8"/>
        <v>6.4524801720661371E-2</v>
      </c>
      <c r="K108" s="33">
        <f t="shared" si="8"/>
        <v>1.7818508951691381</v>
      </c>
      <c r="L108" s="127">
        <f t="shared" si="8"/>
        <v>1.7818508951691381</v>
      </c>
      <c r="M108" s="33">
        <f t="shared" si="8"/>
        <v>4.4087193041329492E-2</v>
      </c>
      <c r="N108" s="33">
        <f t="shared" si="8"/>
        <v>8.9204381783739439</v>
      </c>
    </row>
    <row r="109" spans="4:14" x14ac:dyDescent="0.25">
      <c r="D109" s="4" t="str">
        <f t="shared" si="7"/>
        <v>Wood</v>
      </c>
      <c r="E109" t="str">
        <f t="shared" si="7"/>
        <v>OWB (Hydronic Heater) - Phase 1</v>
      </c>
      <c r="F109" s="128">
        <f t="shared" si="7"/>
        <v>0.43</v>
      </c>
      <c r="H109" s="33">
        <f t="shared" si="8"/>
        <v>1.9357440516198412</v>
      </c>
      <c r="I109" s="33">
        <f t="shared" si="8"/>
        <v>0.34844248012289364</v>
      </c>
      <c r="J109" s="33">
        <f t="shared" si="8"/>
        <v>6.4524801720661371E-2</v>
      </c>
      <c r="K109" s="33">
        <f t="shared" si="8"/>
        <v>1.5700182769433375</v>
      </c>
      <c r="L109" s="127">
        <f t="shared" si="8"/>
        <v>1.5700182769433375</v>
      </c>
      <c r="M109" s="33">
        <f t="shared" si="8"/>
        <v>2.0257144960430098E-2</v>
      </c>
      <c r="N109" s="33">
        <f t="shared" si="8"/>
        <v>17.33303971425347</v>
      </c>
    </row>
    <row r="110" spans="4:14" x14ac:dyDescent="0.25">
      <c r="D110" s="4" t="str">
        <f t="shared" si="7"/>
        <v>Wood</v>
      </c>
      <c r="E110" t="str">
        <f t="shared" si="7"/>
        <v>OWB (Hydronic Heater) - Phase 2</v>
      </c>
      <c r="F110" s="128">
        <f t="shared" si="7"/>
        <v>0.43</v>
      </c>
      <c r="H110" s="33">
        <f t="shared" si="8"/>
        <v>2.419680064524802</v>
      </c>
      <c r="I110" s="33">
        <f t="shared" si="8"/>
        <v>0.34844248012289364</v>
      </c>
      <c r="J110" s="33">
        <f t="shared" si="8"/>
        <v>6.4524801720661371E-2</v>
      </c>
      <c r="K110" s="33">
        <f t="shared" si="8"/>
        <v>0.83346649269831485</v>
      </c>
      <c r="L110" s="127">
        <f t="shared" si="8"/>
        <v>0.83346649269831485</v>
      </c>
      <c r="M110" s="33">
        <f t="shared" si="8"/>
        <v>2.0257144960430098E-2</v>
      </c>
      <c r="N110" s="33">
        <f t="shared" si="8"/>
        <v>13.17212535103069</v>
      </c>
    </row>
    <row r="111" spans="4:14" x14ac:dyDescent="0.25">
      <c r="D111" s="4" t="str">
        <f t="shared" si="7"/>
        <v>Coal</v>
      </c>
      <c r="E111" t="str">
        <f t="shared" si="7"/>
        <v>Coal Boiler (bituminous/subbituminous, hand-fed)</v>
      </c>
      <c r="F111" s="128">
        <f t="shared" si="7"/>
        <v>0.43</v>
      </c>
      <c r="H111" s="33">
        <f t="shared" ref="H111:N118" si="9">H84</f>
        <v>1.5299877600979193</v>
      </c>
      <c r="I111" s="33">
        <f t="shared" si="9"/>
        <v>0.72215422276621788</v>
      </c>
      <c r="J111" s="33">
        <f t="shared" si="9"/>
        <v>1.4228886168910648</v>
      </c>
      <c r="K111" s="33">
        <f t="shared" si="9"/>
        <v>1.2224602203182375</v>
      </c>
      <c r="L111" s="127">
        <f t="shared" si="9"/>
        <v>1.2224602203182375</v>
      </c>
      <c r="M111" s="33">
        <f t="shared" si="9"/>
        <v>0.19368880048959614</v>
      </c>
      <c r="N111" s="33">
        <f t="shared" si="9"/>
        <v>19.977815177478579</v>
      </c>
    </row>
    <row r="112" spans="4:14" x14ac:dyDescent="0.25">
      <c r="D112" s="4" t="str">
        <f t="shared" si="7"/>
        <v>Oil</v>
      </c>
      <c r="E112" t="str">
        <f t="shared" si="7"/>
        <v>Central Oil (Weighted # 1 &amp; #2), Residential</v>
      </c>
      <c r="F112" s="128">
        <f t="shared" si="7"/>
        <v>0.81</v>
      </c>
      <c r="H112" s="33">
        <f t="shared" si="9"/>
        <v>6.5203475080018274E-3</v>
      </c>
      <c r="I112" s="33">
        <f t="shared" si="9"/>
        <v>0.10216194821540199</v>
      </c>
      <c r="J112" s="33">
        <f t="shared" si="9"/>
        <v>0.26431256361773509</v>
      </c>
      <c r="K112" s="33">
        <f t="shared" si="9"/>
        <v>4.1755564665695638E-3</v>
      </c>
      <c r="L112" s="127">
        <f t="shared" si="9"/>
        <v>4.1755564665695638E-3</v>
      </c>
      <c r="M112" s="33">
        <f t="shared" si="9"/>
        <v>2.2401860443145715E-4</v>
      </c>
      <c r="N112" s="33">
        <f t="shared" si="9"/>
        <v>4.09552496762698E-3</v>
      </c>
    </row>
    <row r="113" spans="4:14" x14ac:dyDescent="0.25">
      <c r="D113" s="4" t="str">
        <f t="shared" si="7"/>
        <v>Oil</v>
      </c>
      <c r="E113" t="str">
        <f t="shared" si="7"/>
        <v>Central Oil (#1 distillate), Residential</v>
      </c>
      <c r="F113" s="128">
        <f t="shared" si="7"/>
        <v>0.81</v>
      </c>
      <c r="H113" s="33">
        <f t="shared" si="9"/>
        <v>7.0419753086419738E-3</v>
      </c>
      <c r="I113" s="33">
        <f t="shared" si="9"/>
        <v>0.11033490407263415</v>
      </c>
      <c r="J113" s="33">
        <f t="shared" si="9"/>
        <v>0.12566123456790124</v>
      </c>
      <c r="K113" s="33">
        <f t="shared" si="9"/>
        <v>4.5096009838951293E-3</v>
      </c>
      <c r="L113" s="127">
        <f t="shared" si="9"/>
        <v>4.5096009838951293E-3</v>
      </c>
      <c r="M113" s="33">
        <f t="shared" si="9"/>
        <v>2.4194009278597371E-4</v>
      </c>
      <c r="N113" s="33">
        <f t="shared" si="9"/>
        <v>4.4231669650371388E-3</v>
      </c>
    </row>
    <row r="114" spans="4:14" x14ac:dyDescent="0.25">
      <c r="D114" s="4" t="str">
        <f t="shared" ref="D114:F118" si="10">D87</f>
        <v>Oil</v>
      </c>
      <c r="E114" t="str">
        <f t="shared" si="10"/>
        <v>Central Oil (#2 distillate), Residential</v>
      </c>
      <c r="F114" s="128">
        <f t="shared" si="10"/>
        <v>0.81</v>
      </c>
      <c r="H114" s="33">
        <f t="shared" si="9"/>
        <v>6.3555733832508787E-3</v>
      </c>
      <c r="I114" s="33">
        <f t="shared" si="9"/>
        <v>9.9580238332702298E-2</v>
      </c>
      <c r="J114" s="33">
        <f t="shared" si="9"/>
        <v>0.32479565004234073</v>
      </c>
      <c r="K114" s="33">
        <f t="shared" si="9"/>
        <v>4.0700369890750258E-3</v>
      </c>
      <c r="L114" s="127">
        <f t="shared" si="9"/>
        <v>4.0700369890750258E-3</v>
      </c>
      <c r="M114" s="33">
        <f t="shared" si="9"/>
        <v>2.1835748446387518E-4</v>
      </c>
      <c r="N114" s="33">
        <f t="shared" si="9"/>
        <v>3.9920279467844213E-3</v>
      </c>
    </row>
    <row r="115" spans="4:14" x14ac:dyDescent="0.25">
      <c r="D115" s="4" t="str">
        <f t="shared" si="10"/>
        <v>Oil</v>
      </c>
      <c r="E115" t="str">
        <f t="shared" si="10"/>
        <v>Portable: 43% Kerosene &amp; 57% Fuel Oil</v>
      </c>
      <c r="F115" s="128">
        <f t="shared" si="10"/>
        <v>0.81</v>
      </c>
      <c r="H115" s="33">
        <f t="shared" si="9"/>
        <v>6.4253944565878076E-3</v>
      </c>
      <c r="I115" s="33">
        <f t="shared" si="9"/>
        <v>0.16221192176519011</v>
      </c>
      <c r="J115" s="33">
        <f t="shared" si="9"/>
        <v>0.26046349201353508</v>
      </c>
      <c r="K115" s="33">
        <f t="shared" si="9"/>
        <v>3.6047093725597805E-3</v>
      </c>
      <c r="L115" s="127">
        <f t="shared" si="9"/>
        <v>3.6047093725597805E-3</v>
      </c>
      <c r="M115" s="33">
        <f t="shared" si="9"/>
        <v>2.207563166410943E-4</v>
      </c>
      <c r="N115" s="33">
        <f t="shared" si="9"/>
        <v>4.0358835769892503E-3</v>
      </c>
    </row>
    <row r="116" spans="4:14" x14ac:dyDescent="0.25">
      <c r="D116" s="4" t="str">
        <f t="shared" si="10"/>
        <v>Oil</v>
      </c>
      <c r="E116" t="str">
        <f t="shared" si="10"/>
        <v>Direct Vent</v>
      </c>
      <c r="F116" s="128">
        <f t="shared" si="10"/>
        <v>0.81</v>
      </c>
      <c r="H116" s="33">
        <f t="shared" si="9"/>
        <v>7.0419753086419738E-3</v>
      </c>
      <c r="I116" s="33">
        <f t="shared" si="9"/>
        <v>0.11033490407263415</v>
      </c>
      <c r="J116" s="33">
        <f t="shared" si="9"/>
        <v>0.28545756870715394</v>
      </c>
      <c r="K116" s="33">
        <f t="shared" si="9"/>
        <v>4.5096009838951293E-3</v>
      </c>
      <c r="L116" s="127">
        <f t="shared" si="9"/>
        <v>4.5096009838951293E-3</v>
      </c>
      <c r="M116" s="33">
        <f t="shared" si="9"/>
        <v>2.4194009278597371E-4</v>
      </c>
      <c r="N116" s="33">
        <f t="shared" si="9"/>
        <v>4.4231669650371388E-3</v>
      </c>
    </row>
    <row r="117" spans="4:14" x14ac:dyDescent="0.25">
      <c r="D117" s="4" t="str">
        <f t="shared" si="10"/>
        <v>Gas</v>
      </c>
      <c r="E117" t="str">
        <f t="shared" si="10"/>
        <v>Natural Gas - Residential</v>
      </c>
      <c r="F117" s="128">
        <f t="shared" si="10"/>
        <v>0.81</v>
      </c>
      <c r="H117" s="33">
        <f t="shared" si="9"/>
        <v>6.6897768047193325E-3</v>
      </c>
      <c r="I117" s="33">
        <f t="shared" si="9"/>
        <v>0.11433436720793042</v>
      </c>
      <c r="J117" s="33">
        <f t="shared" si="9"/>
        <v>7.2979383324210895E-4</v>
      </c>
      <c r="K117" s="33">
        <f t="shared" si="9"/>
        <v>9.2440552210667146E-3</v>
      </c>
      <c r="L117" s="127">
        <f t="shared" si="9"/>
        <v>9.2440552210667146E-3</v>
      </c>
      <c r="M117" s="33">
        <f t="shared" si="9"/>
        <v>2.4326461108070303E-2</v>
      </c>
      <c r="N117" s="33">
        <f t="shared" si="9"/>
        <v>4.8652922216140607E-2</v>
      </c>
    </row>
    <row r="118" spans="4:14" x14ac:dyDescent="0.25">
      <c r="D118" s="4" t="str">
        <f t="shared" si="10"/>
        <v>Gas</v>
      </c>
      <c r="E118" t="str">
        <f t="shared" si="10"/>
        <v>Natural Gas - Commercial, small uncontrolled</v>
      </c>
      <c r="F118" s="128">
        <f t="shared" si="10"/>
        <v>0.81</v>
      </c>
      <c r="H118" s="33">
        <f t="shared" si="9"/>
        <v>6.6897768047193325E-3</v>
      </c>
      <c r="I118" s="33">
        <f t="shared" si="9"/>
        <v>0.12163230554035151</v>
      </c>
      <c r="J118" s="33">
        <f t="shared" si="9"/>
        <v>7.2979383324210895E-4</v>
      </c>
      <c r="K118" s="33">
        <f t="shared" si="9"/>
        <v>9.2440552210667146E-3</v>
      </c>
      <c r="L118" s="127">
        <f t="shared" si="9"/>
        <v>9.2440552210667146E-3</v>
      </c>
      <c r="M118" s="33">
        <f t="shared" si="9"/>
        <v>2.4326461108070303E-2</v>
      </c>
      <c r="N118" s="33">
        <f t="shared" si="9"/>
        <v>4.8652922216140607E-2</v>
      </c>
    </row>
    <row r="121" spans="4:14" ht="15.75" x14ac:dyDescent="0.25">
      <c r="D121" s="260" t="s">
        <v>301</v>
      </c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</row>
    <row r="122" spans="4:14" ht="15.75" x14ac:dyDescent="0.25">
      <c r="D122" s="271" t="s">
        <v>302</v>
      </c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</row>
    <row r="123" spans="4:14" x14ac:dyDescent="0.25">
      <c r="F123" s="4" t="s">
        <v>296</v>
      </c>
      <c r="H123" s="257" t="s">
        <v>297</v>
      </c>
      <c r="I123" s="257"/>
      <c r="J123" s="257"/>
      <c r="K123" s="257"/>
      <c r="L123" s="257"/>
      <c r="M123" s="257"/>
      <c r="N123" s="257"/>
    </row>
    <row r="124" spans="4:14" ht="15.75" thickBot="1" x14ac:dyDescent="0.3">
      <c r="D124" s="74" t="s">
        <v>153</v>
      </c>
      <c r="E124" s="74" t="s">
        <v>298</v>
      </c>
      <c r="F124" s="74" t="s">
        <v>118</v>
      </c>
      <c r="G124" s="74"/>
      <c r="H124" s="74" t="s">
        <v>27</v>
      </c>
      <c r="I124" s="74" t="s">
        <v>28</v>
      </c>
      <c r="J124" s="74" t="s">
        <v>29</v>
      </c>
      <c r="K124" s="74" t="s">
        <v>30</v>
      </c>
      <c r="L124" s="126" t="s">
        <v>31</v>
      </c>
      <c r="M124" s="74" t="s">
        <v>32</v>
      </c>
      <c r="N124" s="74" t="s">
        <v>33</v>
      </c>
    </row>
    <row r="125" spans="4:14" ht="15.75" thickTop="1" x14ac:dyDescent="0.25">
      <c r="D125" s="4" t="str">
        <f t="shared" ref="D125:F140" si="11">D98</f>
        <v>Wood</v>
      </c>
      <c r="E125" t="str">
        <f t="shared" si="11"/>
        <v>Fireplace, No Insert</v>
      </c>
      <c r="F125" s="128">
        <f t="shared" si="11"/>
        <v>7.0000000000000007E-2</v>
      </c>
      <c r="H125" s="33">
        <f t="shared" ref="H125:N137" si="12">H71*$C$4/((19*$C$7+16*$C$8)/35)</f>
        <v>258.0800498486185</v>
      </c>
      <c r="I125" s="33">
        <f t="shared" si="12"/>
        <v>2.9301665048314764</v>
      </c>
      <c r="J125" s="33">
        <f t="shared" si="12"/>
        <v>0.45079484689715027</v>
      </c>
      <c r="K125" s="33">
        <f t="shared" si="12"/>
        <v>38.993754256603495</v>
      </c>
      <c r="L125" s="127">
        <f t="shared" si="12"/>
        <v>38.993754256603495</v>
      </c>
      <c r="M125" s="33">
        <f t="shared" si="12"/>
        <v>2.0285768110371762</v>
      </c>
      <c r="N125" s="33">
        <f t="shared" si="12"/>
        <v>284.67694581555031</v>
      </c>
    </row>
    <row r="126" spans="4:14" x14ac:dyDescent="0.25">
      <c r="D126" s="4" t="str">
        <f t="shared" si="11"/>
        <v>Wood</v>
      </c>
      <c r="E126" t="str">
        <f t="shared" si="11"/>
        <v>Fireplace, With Insert - Non-EPA Certified</v>
      </c>
      <c r="F126" s="128">
        <f t="shared" si="11"/>
        <v>0.4</v>
      </c>
      <c r="H126" s="33">
        <f t="shared" si="12"/>
        <v>10.452805512427672</v>
      </c>
      <c r="I126" s="33">
        <f t="shared" si="12"/>
        <v>0.55222368744900896</v>
      </c>
      <c r="J126" s="33">
        <f t="shared" si="12"/>
        <v>7.8889098207001296E-2</v>
      </c>
      <c r="K126" s="33">
        <f t="shared" si="12"/>
        <v>6.0350160128355999</v>
      </c>
      <c r="L126" s="127">
        <f t="shared" si="12"/>
        <v>6.0350160128355999</v>
      </c>
      <c r="M126" s="33">
        <f t="shared" si="12"/>
        <v>0.33527866737975542</v>
      </c>
      <c r="N126" s="33">
        <f t="shared" si="12"/>
        <v>45.519009665439739</v>
      </c>
    </row>
    <row r="127" spans="4:14" x14ac:dyDescent="0.25">
      <c r="D127" s="4" t="str">
        <f t="shared" si="11"/>
        <v>Wood</v>
      </c>
      <c r="E127" t="str">
        <f t="shared" si="11"/>
        <v>Fireplace, With Insert - EPA Certified Non-Catalytic</v>
      </c>
      <c r="F127" s="128">
        <f t="shared" si="11"/>
        <v>0.66</v>
      </c>
      <c r="H127" s="33">
        <f t="shared" si="12"/>
        <v>1.4343472401272961</v>
      </c>
      <c r="I127" s="33">
        <f t="shared" si="12"/>
        <v>0.23905787335454937</v>
      </c>
      <c r="J127" s="33">
        <f t="shared" si="12"/>
        <v>4.7811574670909865E-2</v>
      </c>
      <c r="K127" s="33">
        <f t="shared" si="12"/>
        <v>3.6575854623246058</v>
      </c>
      <c r="L127" s="127">
        <f t="shared" si="12"/>
        <v>1.4343472401272961</v>
      </c>
      <c r="M127" s="33">
        <f t="shared" si="12"/>
        <v>0.10757604300954721</v>
      </c>
      <c r="N127" s="33">
        <f t="shared" si="12"/>
        <v>16.829674284160273</v>
      </c>
    </row>
    <row r="128" spans="4:14" x14ac:dyDescent="0.25">
      <c r="D128" s="4" t="str">
        <f t="shared" si="11"/>
        <v>Wood</v>
      </c>
      <c r="E128" t="str">
        <f t="shared" si="11"/>
        <v>Fireplace, With Insert - EPA Certified Catalytic</v>
      </c>
      <c r="F128" s="128">
        <f t="shared" si="11"/>
        <v>0.7</v>
      </c>
      <c r="H128" s="33">
        <f t="shared" si="12"/>
        <v>1.6904806758643136</v>
      </c>
      <c r="I128" s="33">
        <f t="shared" si="12"/>
        <v>0.22539742344857516</v>
      </c>
      <c r="J128" s="33">
        <f t="shared" si="12"/>
        <v>4.5079484689715024E-2</v>
      </c>
      <c r="K128" s="33">
        <f t="shared" si="12"/>
        <v>1.4650832524157382</v>
      </c>
      <c r="L128" s="127">
        <f t="shared" si="12"/>
        <v>1.4650832524157382</v>
      </c>
      <c r="M128" s="33">
        <f t="shared" si="12"/>
        <v>0.10142884055185881</v>
      </c>
      <c r="N128" s="33">
        <f t="shared" si="12"/>
        <v>12.058762154498771</v>
      </c>
    </row>
    <row r="129" spans="4:17" x14ac:dyDescent="0.25">
      <c r="D129" s="4" t="str">
        <f t="shared" si="11"/>
        <v>Wood</v>
      </c>
      <c r="E129" t="str">
        <f t="shared" si="11"/>
        <v>Woodstove - Non-EPA Certified</v>
      </c>
      <c r="F129" s="128">
        <f t="shared" si="11"/>
        <v>0.54</v>
      </c>
      <c r="H129" s="33">
        <f t="shared" si="12"/>
        <v>7.7428188980945709</v>
      </c>
      <c r="I129" s="33">
        <f t="shared" si="12"/>
        <v>0.21214485705083425</v>
      </c>
      <c r="J129" s="33">
        <f t="shared" si="12"/>
        <v>5.8436369042223178E-2</v>
      </c>
      <c r="K129" s="33">
        <f t="shared" si="12"/>
        <v>1.7738402752129308</v>
      </c>
      <c r="L129" s="127">
        <f t="shared" si="12"/>
        <v>1.7738402752129308</v>
      </c>
      <c r="M129" s="33">
        <f t="shared" si="12"/>
        <v>5.8002266474000884E-2</v>
      </c>
      <c r="N129" s="33">
        <f t="shared" si="12"/>
        <v>17.701930838466495</v>
      </c>
    </row>
    <row r="130" spans="4:17" x14ac:dyDescent="0.25">
      <c r="D130" s="4" t="str">
        <f t="shared" si="11"/>
        <v>Wood</v>
      </c>
      <c r="E130" t="str">
        <f t="shared" si="11"/>
        <v>Woodstove - EPA Certified Non-Catalytic</v>
      </c>
      <c r="F130" s="128">
        <f t="shared" si="11"/>
        <v>0.68</v>
      </c>
      <c r="H130" s="33">
        <f t="shared" si="12"/>
        <v>1.3921605565941404</v>
      </c>
      <c r="I130" s="33">
        <f t="shared" si="12"/>
        <v>0.18664692362126536</v>
      </c>
      <c r="J130" s="33">
        <f t="shared" si="12"/>
        <v>4.6405351886471345E-2</v>
      </c>
      <c r="K130" s="33">
        <f t="shared" si="12"/>
        <v>0.9194205661868422</v>
      </c>
      <c r="L130" s="127">
        <f t="shared" si="12"/>
        <v>0.9194205661868422</v>
      </c>
      <c r="M130" s="33">
        <f t="shared" si="12"/>
        <v>2.8973382893167022E-2</v>
      </c>
      <c r="N130" s="33">
        <f t="shared" si="12"/>
        <v>14.344004305884104</v>
      </c>
    </row>
    <row r="131" spans="4:17" x14ac:dyDescent="0.25">
      <c r="D131" s="4" t="str">
        <f t="shared" si="11"/>
        <v>Wood</v>
      </c>
      <c r="E131" t="str">
        <f t="shared" si="11"/>
        <v>Woodstove - EPA Certified Catalytic</v>
      </c>
      <c r="F131" s="128">
        <f t="shared" si="11"/>
        <v>0.72</v>
      </c>
      <c r="H131" s="33">
        <f t="shared" si="12"/>
        <v>1.6435228793125269</v>
      </c>
      <c r="I131" s="33">
        <f t="shared" si="12"/>
        <v>0.17627765008675067</v>
      </c>
      <c r="J131" s="33">
        <f t="shared" si="12"/>
        <v>4.3827276781667389E-2</v>
      </c>
      <c r="K131" s="33">
        <f t="shared" si="12"/>
        <v>0.96350237415470508</v>
      </c>
      <c r="L131" s="127">
        <f t="shared" si="12"/>
        <v>0.33948070543707348</v>
      </c>
      <c r="M131" s="33">
        <f t="shared" si="12"/>
        <v>8.2438760496002864E-3</v>
      </c>
      <c r="N131" s="33">
        <f t="shared" si="12"/>
        <v>1.1390953940543966</v>
      </c>
    </row>
    <row r="132" spans="4:17" x14ac:dyDescent="0.25">
      <c r="D132" s="4" t="str">
        <f t="shared" si="11"/>
        <v>Wood</v>
      </c>
      <c r="E132" t="str">
        <f t="shared" si="11"/>
        <v>Pellet Stove (Exempt)</v>
      </c>
      <c r="F132" s="128">
        <f t="shared" si="11"/>
        <v>0.56000000000000005</v>
      </c>
      <c r="H132" s="33">
        <f t="shared" si="12"/>
        <v>0.33809613517286263</v>
      </c>
      <c r="I132" s="33">
        <f t="shared" si="12"/>
        <v>0.5904211728344777</v>
      </c>
      <c r="J132" s="33">
        <f t="shared" si="12"/>
        <v>4.7186507319438784E-2</v>
      </c>
      <c r="K132" s="33">
        <f t="shared" si="12"/>
        <v>0.43647519270480867</v>
      </c>
      <c r="L132" s="127">
        <f t="shared" si="12"/>
        <v>0.43647519270480867</v>
      </c>
      <c r="M132" s="33">
        <f t="shared" si="12"/>
        <v>1.0599269206628938E-2</v>
      </c>
      <c r="N132" s="33">
        <f t="shared" si="12"/>
        <v>1.4645512209270812</v>
      </c>
    </row>
    <row r="133" spans="4:17" x14ac:dyDescent="0.25">
      <c r="D133" s="4" t="str">
        <f t="shared" si="11"/>
        <v>Wood</v>
      </c>
      <c r="E133" t="str">
        <f t="shared" si="11"/>
        <v>Pellet Stove (EPA Certified)</v>
      </c>
      <c r="F133" s="128">
        <f t="shared" si="11"/>
        <v>0.78</v>
      </c>
      <c r="H133" s="33">
        <f t="shared" si="12"/>
        <v>0.24273568679077318</v>
      </c>
      <c r="I133" s="33">
        <f t="shared" si="12"/>
        <v>0.42389212408629168</v>
      </c>
      <c r="J133" s="33">
        <f t="shared" si="12"/>
        <v>3.3877492434468866E-2</v>
      </c>
      <c r="K133" s="33">
        <f t="shared" si="12"/>
        <v>0.31336680501883707</v>
      </c>
      <c r="L133" s="127">
        <f t="shared" si="12"/>
        <v>0.31336680501883707</v>
      </c>
      <c r="M133" s="33">
        <f t="shared" si="12"/>
        <v>7.6097317380925695E-3</v>
      </c>
      <c r="N133" s="33">
        <f t="shared" si="12"/>
        <v>1.0514726714348275</v>
      </c>
    </row>
    <row r="134" spans="4:17" x14ac:dyDescent="0.25">
      <c r="D134" s="4" t="str">
        <f t="shared" si="11"/>
        <v>Wood</v>
      </c>
      <c r="E134" t="str">
        <f t="shared" si="11"/>
        <v>OWB (Hydronic Heater) - 80/20 Unqual/Phase 2 Wtd</v>
      </c>
      <c r="F134" s="128">
        <f t="shared" si="11"/>
        <v>0.43</v>
      </c>
      <c r="H134" s="33">
        <f t="shared" si="12"/>
        <v>8.3292210665066513</v>
      </c>
      <c r="I134" s="33">
        <f t="shared" si="12"/>
        <v>0.29587695866304653</v>
      </c>
      <c r="J134" s="33">
        <f t="shared" si="12"/>
        <v>7.338520763441983E-2</v>
      </c>
      <c r="K134" s="33">
        <f t="shared" si="12"/>
        <v>1.8108078993079173</v>
      </c>
      <c r="L134" s="127">
        <f t="shared" si="12"/>
        <v>1.8108078993079173</v>
      </c>
      <c r="M134" s="33">
        <f t="shared" si="12"/>
        <v>4.4720683103807522E-2</v>
      </c>
      <c r="N134" s="33">
        <f t="shared" si="12"/>
        <v>11.112477341759602</v>
      </c>
      <c r="Q134" s="17"/>
    </row>
    <row r="135" spans="4:17" x14ac:dyDescent="0.25">
      <c r="D135" s="4" t="str">
        <f t="shared" si="11"/>
        <v>Wood</v>
      </c>
      <c r="E135" t="str">
        <f t="shared" si="11"/>
        <v>OWB (Hydronic Heater) - Unqualified</v>
      </c>
      <c r="F135" s="128">
        <f t="shared" si="11"/>
        <v>0.43</v>
      </c>
      <c r="H135" s="33">
        <f t="shared" si="12"/>
        <v>9.7235400115606243</v>
      </c>
      <c r="I135" s="33">
        <f t="shared" si="12"/>
        <v>0.27077373676910516</v>
      </c>
      <c r="J135" s="33">
        <f t="shared" si="12"/>
        <v>7.3385207634419802E-2</v>
      </c>
      <c r="K135" s="33">
        <f t="shared" si="12"/>
        <v>2.0265307979039182</v>
      </c>
      <c r="L135" s="127">
        <f t="shared" si="12"/>
        <v>2.0265307979039182</v>
      </c>
      <c r="M135" s="33">
        <f t="shared" si="12"/>
        <v>5.0141150830080396E-2</v>
      </c>
      <c r="N135" s="33">
        <f t="shared" si="12"/>
        <v>10.145373413838172</v>
      </c>
      <c r="Q135" s="17"/>
    </row>
    <row r="136" spans="4:17" x14ac:dyDescent="0.25">
      <c r="D136" s="4" t="str">
        <f t="shared" si="11"/>
        <v>Wood</v>
      </c>
      <c r="E136" t="str">
        <f t="shared" si="11"/>
        <v>OWB (Hydronic Heater) - Phase 1</v>
      </c>
      <c r="F136" s="128">
        <f t="shared" si="11"/>
        <v>0.43</v>
      </c>
      <c r="H136" s="33">
        <f t="shared" si="12"/>
        <v>2.2015562290325943</v>
      </c>
      <c r="I136" s="33">
        <f t="shared" si="12"/>
        <v>0.3962898462388123</v>
      </c>
      <c r="J136" s="33">
        <f t="shared" si="12"/>
        <v>7.3385207634419802E-2</v>
      </c>
      <c r="K136" s="33">
        <f t="shared" si="12"/>
        <v>1.7856097836938829</v>
      </c>
      <c r="L136" s="127">
        <f t="shared" si="12"/>
        <v>1.7856097836938829</v>
      </c>
      <c r="M136" s="33">
        <f t="shared" si="12"/>
        <v>2.3038812198715983E-2</v>
      </c>
      <c r="N136" s="33">
        <f t="shared" si="12"/>
        <v>19.713175158178505</v>
      </c>
      <c r="Q136" s="17"/>
    </row>
    <row r="137" spans="4:17" x14ac:dyDescent="0.25">
      <c r="D137" s="4" t="str">
        <f t="shared" si="11"/>
        <v>Wood</v>
      </c>
      <c r="E137" t="str">
        <f t="shared" si="11"/>
        <v>OWB (Hydronic Heater) - Phase 2</v>
      </c>
      <c r="F137" s="128">
        <f t="shared" si="11"/>
        <v>0.43</v>
      </c>
      <c r="H137" s="33">
        <f t="shared" si="12"/>
        <v>2.7519452862907432</v>
      </c>
      <c r="I137" s="33">
        <f t="shared" si="12"/>
        <v>0.3962898462388123</v>
      </c>
      <c r="J137" s="33">
        <f t="shared" si="12"/>
        <v>7.3385207634419802E-2</v>
      </c>
      <c r="K137" s="33">
        <f t="shared" si="12"/>
        <v>0.94791630492391299</v>
      </c>
      <c r="L137" s="127">
        <f t="shared" si="12"/>
        <v>0.94791630492391299</v>
      </c>
      <c r="M137" s="33">
        <f t="shared" si="12"/>
        <v>2.3038812198715983E-2</v>
      </c>
      <c r="N137" s="33">
        <f t="shared" si="12"/>
        <v>14.980893053445312</v>
      </c>
      <c r="Q137" s="17"/>
    </row>
    <row r="138" spans="4:17" x14ac:dyDescent="0.25">
      <c r="D138" s="4" t="str">
        <f t="shared" si="11"/>
        <v>Coal</v>
      </c>
      <c r="E138" t="str">
        <f t="shared" si="11"/>
        <v>Coal Boiler (bituminous/subbituminous, hand-fed)</v>
      </c>
      <c r="F138" s="128">
        <f t="shared" si="11"/>
        <v>0.43</v>
      </c>
      <c r="H138" s="33">
        <f t="shared" ref="H138:N145" si="13">H84</f>
        <v>1.5299877600979193</v>
      </c>
      <c r="I138" s="33">
        <f t="shared" si="13"/>
        <v>0.72215422276621788</v>
      </c>
      <c r="J138" s="33">
        <f t="shared" si="13"/>
        <v>1.4228886168910648</v>
      </c>
      <c r="K138" s="33">
        <f t="shared" si="13"/>
        <v>1.2224602203182375</v>
      </c>
      <c r="L138" s="127">
        <f t="shared" si="13"/>
        <v>1.2224602203182375</v>
      </c>
      <c r="M138" s="33">
        <f t="shared" si="13"/>
        <v>0.19368880048959614</v>
      </c>
      <c r="N138" s="33">
        <f t="shared" si="13"/>
        <v>19.977815177478579</v>
      </c>
    </row>
    <row r="139" spans="4:17" x14ac:dyDescent="0.25">
      <c r="D139" s="4" t="str">
        <f t="shared" si="11"/>
        <v>Oil</v>
      </c>
      <c r="E139" t="str">
        <f t="shared" si="11"/>
        <v>Central Oil (Weighted # 1 &amp; #2), Residential</v>
      </c>
      <c r="F139" s="128">
        <f t="shared" si="11"/>
        <v>0.81</v>
      </c>
      <c r="H139" s="33">
        <f t="shared" si="13"/>
        <v>6.5203475080018274E-3</v>
      </c>
      <c r="I139" s="33">
        <f t="shared" si="13"/>
        <v>0.10216194821540199</v>
      </c>
      <c r="J139" s="33">
        <f t="shared" si="13"/>
        <v>0.26431256361773509</v>
      </c>
      <c r="K139" s="33">
        <f t="shared" si="13"/>
        <v>4.1755564665695638E-3</v>
      </c>
      <c r="L139" s="127">
        <f t="shared" si="13"/>
        <v>4.1755564665695638E-3</v>
      </c>
      <c r="M139" s="33">
        <f t="shared" si="13"/>
        <v>2.2401860443145715E-4</v>
      </c>
      <c r="N139" s="33">
        <f t="shared" si="13"/>
        <v>4.09552496762698E-3</v>
      </c>
    </row>
    <row r="140" spans="4:17" x14ac:dyDescent="0.25">
      <c r="D140" s="4" t="str">
        <f t="shared" si="11"/>
        <v>Oil</v>
      </c>
      <c r="E140" t="str">
        <f t="shared" si="11"/>
        <v>Central Oil (#1 distillate), Residential</v>
      </c>
      <c r="F140" s="128">
        <f t="shared" si="11"/>
        <v>0.81</v>
      </c>
      <c r="H140" s="33">
        <f t="shared" si="13"/>
        <v>7.0419753086419738E-3</v>
      </c>
      <c r="I140" s="33">
        <f t="shared" si="13"/>
        <v>0.11033490407263415</v>
      </c>
      <c r="J140" s="33">
        <f t="shared" si="13"/>
        <v>0.12566123456790124</v>
      </c>
      <c r="K140" s="33">
        <f t="shared" si="13"/>
        <v>4.5096009838951293E-3</v>
      </c>
      <c r="L140" s="127">
        <f t="shared" si="13"/>
        <v>4.5096009838951293E-3</v>
      </c>
      <c r="M140" s="33">
        <f t="shared" si="13"/>
        <v>2.4194009278597371E-4</v>
      </c>
      <c r="N140" s="33">
        <f t="shared" si="13"/>
        <v>4.4231669650371388E-3</v>
      </c>
    </row>
    <row r="141" spans="4:17" x14ac:dyDescent="0.25">
      <c r="D141" s="4" t="str">
        <f t="shared" ref="D141:F145" si="14">D114</f>
        <v>Oil</v>
      </c>
      <c r="E141" t="str">
        <f t="shared" si="14"/>
        <v>Central Oil (#2 distillate), Residential</v>
      </c>
      <c r="F141" s="128">
        <f t="shared" si="14"/>
        <v>0.81</v>
      </c>
      <c r="H141" s="33">
        <f t="shared" si="13"/>
        <v>6.3555733832508787E-3</v>
      </c>
      <c r="I141" s="33">
        <f t="shared" si="13"/>
        <v>9.9580238332702298E-2</v>
      </c>
      <c r="J141" s="33">
        <f t="shared" si="13"/>
        <v>0.32479565004234073</v>
      </c>
      <c r="K141" s="33">
        <f t="shared" si="13"/>
        <v>4.0700369890750258E-3</v>
      </c>
      <c r="L141" s="127">
        <f t="shared" si="13"/>
        <v>4.0700369890750258E-3</v>
      </c>
      <c r="M141" s="33">
        <f t="shared" si="13"/>
        <v>2.1835748446387518E-4</v>
      </c>
      <c r="N141" s="33">
        <f t="shared" si="13"/>
        <v>3.9920279467844213E-3</v>
      </c>
    </row>
    <row r="142" spans="4:17" x14ac:dyDescent="0.25">
      <c r="D142" s="4" t="str">
        <f t="shared" si="14"/>
        <v>Oil</v>
      </c>
      <c r="E142" t="str">
        <f t="shared" si="14"/>
        <v>Portable: 43% Kerosene &amp; 57% Fuel Oil</v>
      </c>
      <c r="F142" s="128">
        <f t="shared" si="14"/>
        <v>0.81</v>
      </c>
      <c r="H142" s="33">
        <f t="shared" si="13"/>
        <v>6.4253944565878076E-3</v>
      </c>
      <c r="I142" s="33">
        <f t="shared" si="13"/>
        <v>0.16221192176519011</v>
      </c>
      <c r="J142" s="33">
        <f t="shared" si="13"/>
        <v>0.26046349201353508</v>
      </c>
      <c r="K142" s="33">
        <f t="shared" si="13"/>
        <v>3.6047093725597805E-3</v>
      </c>
      <c r="L142" s="127">
        <f t="shared" si="13"/>
        <v>3.6047093725597805E-3</v>
      </c>
      <c r="M142" s="33">
        <f t="shared" si="13"/>
        <v>2.207563166410943E-4</v>
      </c>
      <c r="N142" s="33">
        <f t="shared" si="13"/>
        <v>4.0358835769892503E-3</v>
      </c>
    </row>
    <row r="143" spans="4:17" x14ac:dyDescent="0.25">
      <c r="D143" s="4" t="str">
        <f t="shared" si="14"/>
        <v>Oil</v>
      </c>
      <c r="E143" t="str">
        <f t="shared" si="14"/>
        <v>Direct Vent</v>
      </c>
      <c r="F143" s="128">
        <f t="shared" si="14"/>
        <v>0.81</v>
      </c>
      <c r="H143" s="33">
        <f t="shared" si="13"/>
        <v>7.0419753086419738E-3</v>
      </c>
      <c r="I143" s="33">
        <f t="shared" si="13"/>
        <v>0.11033490407263415</v>
      </c>
      <c r="J143" s="33">
        <f t="shared" si="13"/>
        <v>0.28545756870715394</v>
      </c>
      <c r="K143" s="33">
        <f t="shared" si="13"/>
        <v>4.5096009838951293E-3</v>
      </c>
      <c r="L143" s="127">
        <f t="shared" si="13"/>
        <v>4.5096009838951293E-3</v>
      </c>
      <c r="M143" s="33">
        <f t="shared" si="13"/>
        <v>2.4194009278597371E-4</v>
      </c>
      <c r="N143" s="33">
        <f t="shared" si="13"/>
        <v>4.4231669650371388E-3</v>
      </c>
    </row>
    <row r="144" spans="4:17" x14ac:dyDescent="0.25">
      <c r="D144" s="4" t="str">
        <f t="shared" si="14"/>
        <v>Gas</v>
      </c>
      <c r="E144" t="str">
        <f t="shared" si="14"/>
        <v>Natural Gas - Residential</v>
      </c>
      <c r="F144" s="128">
        <f t="shared" si="14"/>
        <v>0.81</v>
      </c>
      <c r="H144" s="33">
        <f t="shared" si="13"/>
        <v>6.6897768047193325E-3</v>
      </c>
      <c r="I144" s="33">
        <f t="shared" si="13"/>
        <v>0.11433436720793042</v>
      </c>
      <c r="J144" s="33">
        <f t="shared" si="13"/>
        <v>7.2979383324210895E-4</v>
      </c>
      <c r="K144" s="33">
        <f t="shared" si="13"/>
        <v>9.2440552210667146E-3</v>
      </c>
      <c r="L144" s="127">
        <f t="shared" si="13"/>
        <v>9.2440552210667146E-3</v>
      </c>
      <c r="M144" s="33">
        <f t="shared" si="13"/>
        <v>2.4326461108070303E-2</v>
      </c>
      <c r="N144" s="33">
        <f t="shared" si="13"/>
        <v>4.8652922216140607E-2</v>
      </c>
    </row>
    <row r="145" spans="4:14" x14ac:dyDescent="0.25">
      <c r="D145" s="4" t="str">
        <f t="shared" si="14"/>
        <v>Gas</v>
      </c>
      <c r="E145" t="str">
        <f t="shared" si="14"/>
        <v>Natural Gas - Commercial, small uncontrolled</v>
      </c>
      <c r="F145" s="128">
        <f t="shared" si="14"/>
        <v>0.81</v>
      </c>
      <c r="H145" s="33">
        <f t="shared" si="13"/>
        <v>6.6897768047193325E-3</v>
      </c>
      <c r="I145" s="33">
        <f t="shared" si="13"/>
        <v>0.12163230554035151</v>
      </c>
      <c r="J145" s="33">
        <f t="shared" si="13"/>
        <v>7.2979383324210895E-4</v>
      </c>
      <c r="K145" s="33">
        <f t="shared" si="13"/>
        <v>9.2440552210667146E-3</v>
      </c>
      <c r="L145" s="127">
        <f t="shared" si="13"/>
        <v>9.2440552210667146E-3</v>
      </c>
      <c r="M145" s="33">
        <f t="shared" si="13"/>
        <v>2.4326461108070303E-2</v>
      </c>
      <c r="N145" s="33">
        <f t="shared" si="13"/>
        <v>4.8652922216140607E-2</v>
      </c>
    </row>
  </sheetData>
  <mergeCells count="15">
    <mergeCell ref="D121:N121"/>
    <mergeCell ref="D122:N122"/>
    <mergeCell ref="H123:N123"/>
    <mergeCell ref="D67:N67"/>
    <mergeCell ref="D68:N68"/>
    <mergeCell ref="H69:N69"/>
    <mergeCell ref="D94:N94"/>
    <mergeCell ref="D95:N95"/>
    <mergeCell ref="H96:N96"/>
    <mergeCell ref="H52:N52"/>
    <mergeCell ref="A1:E1"/>
    <mergeCell ref="G2:N2"/>
    <mergeCell ref="A21:E21"/>
    <mergeCell ref="A33:O33"/>
    <mergeCell ref="H35:N35"/>
  </mergeCells>
  <hyperlinks>
    <hyperlink ref="E13" r:id="rId1"/>
    <hyperlink ref="E14:E15" r:id="rId2" display="http://www.fngas.com/calculate.html"/>
    <hyperlink ref="E24" r:id="rId3"/>
    <hyperlink ref="E11" r:id="rId4" display="http://www.fngas.com/calculate.html"/>
  </hyperlinks>
  <pageMargins left="0.7" right="0.7" top="0.75" bottom="0.75" header="0.3" footer="0.3"/>
  <pageSetup orientation="portrait" r:id="rId5"/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81"/>
  <sheetViews>
    <sheetView zoomScale="84" zoomScaleNormal="84" workbookViewId="0">
      <pane ySplit="5" topLeftCell="A6" activePane="bottomLeft" state="frozen"/>
      <selection activeCell="C77" sqref="C77"/>
      <selection pane="bottomLeft" activeCell="A6" sqref="A6"/>
    </sheetView>
  </sheetViews>
  <sheetFormatPr defaultRowHeight="15" x14ac:dyDescent="0.25"/>
  <cols>
    <col min="2" max="3" width="13.42578125" customWidth="1"/>
  </cols>
  <sheetData>
    <row r="1" spans="1:23" ht="15.75" x14ac:dyDescent="0.25">
      <c r="A1" s="260" t="s">
        <v>303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</row>
    <row r="2" spans="1:23" x14ac:dyDescent="0.25">
      <c r="A2" s="272" t="s">
        <v>304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</row>
    <row r="3" spans="1:23" x14ac:dyDescent="0.25">
      <c r="D3" s="273" t="s">
        <v>305</v>
      </c>
      <c r="E3" s="273"/>
      <c r="F3" s="273"/>
      <c r="G3" s="273"/>
      <c r="H3" s="273"/>
      <c r="I3" s="273"/>
      <c r="J3" s="273"/>
      <c r="K3" s="273"/>
      <c r="L3" s="129"/>
      <c r="M3" s="129"/>
      <c r="N3" s="273" t="s">
        <v>306</v>
      </c>
      <c r="O3" s="273"/>
      <c r="P3" s="273"/>
      <c r="Q3" s="273"/>
      <c r="R3" s="273"/>
      <c r="S3" s="273"/>
      <c r="T3" s="273"/>
      <c r="U3" s="273"/>
    </row>
    <row r="4" spans="1:23" x14ac:dyDescent="0.25">
      <c r="B4" s="4"/>
      <c r="C4" s="4" t="s">
        <v>208</v>
      </c>
      <c r="D4" s="274" t="s">
        <v>307</v>
      </c>
      <c r="E4" s="274"/>
      <c r="F4" s="274"/>
      <c r="G4" s="274"/>
      <c r="H4" s="274"/>
      <c r="I4" s="274"/>
      <c r="J4" s="274"/>
      <c r="K4" s="274" t="s">
        <v>308</v>
      </c>
      <c r="L4" s="274"/>
      <c r="M4" s="130" t="s">
        <v>309</v>
      </c>
      <c r="N4" s="274" t="s">
        <v>307</v>
      </c>
      <c r="O4" s="274"/>
      <c r="P4" s="274"/>
      <c r="Q4" s="274"/>
      <c r="R4" s="274"/>
      <c r="S4" s="274"/>
      <c r="T4" s="274"/>
      <c r="U4" s="274" t="s">
        <v>308</v>
      </c>
      <c r="V4" s="274"/>
      <c r="W4" s="130" t="s">
        <v>309</v>
      </c>
    </row>
    <row r="5" spans="1:23" ht="15.75" thickBot="1" x14ac:dyDescent="0.3">
      <c r="A5" s="74" t="s">
        <v>310</v>
      </c>
      <c r="B5" s="74" t="s">
        <v>132</v>
      </c>
      <c r="C5" s="74" t="s">
        <v>311</v>
      </c>
      <c r="D5" s="74" t="s">
        <v>27</v>
      </c>
      <c r="E5" s="74" t="s">
        <v>28</v>
      </c>
      <c r="F5" s="74" t="s">
        <v>29</v>
      </c>
      <c r="G5" s="74" t="s">
        <v>30</v>
      </c>
      <c r="H5" s="74" t="s">
        <v>31</v>
      </c>
      <c r="I5" s="74" t="s">
        <v>32</v>
      </c>
      <c r="J5" s="74" t="s">
        <v>33</v>
      </c>
      <c r="K5" s="131" t="s">
        <v>312</v>
      </c>
      <c r="L5" s="131" t="s">
        <v>309</v>
      </c>
      <c r="M5" s="131" t="s">
        <v>155</v>
      </c>
      <c r="N5" s="74" t="s">
        <v>27</v>
      </c>
      <c r="O5" s="74" t="s">
        <v>28</v>
      </c>
      <c r="P5" s="74" t="s">
        <v>29</v>
      </c>
      <c r="Q5" s="74" t="s">
        <v>30</v>
      </c>
      <c r="R5" s="74" t="s">
        <v>31</v>
      </c>
      <c r="S5" s="74" t="s">
        <v>32</v>
      </c>
      <c r="T5" s="74" t="s">
        <v>33</v>
      </c>
      <c r="U5" s="131" t="s">
        <v>312</v>
      </c>
      <c r="V5" s="131" t="s">
        <v>309</v>
      </c>
      <c r="W5" s="131" t="s">
        <v>155</v>
      </c>
    </row>
    <row r="6" spans="1:23" ht="15.75" thickTop="1" x14ac:dyDescent="0.25">
      <c r="A6" s="4" t="s">
        <v>313</v>
      </c>
      <c r="B6" s="4">
        <v>2104008100</v>
      </c>
      <c r="C6" s="4" t="s">
        <v>133</v>
      </c>
      <c r="D6" s="17">
        <v>5.5364078784429402</v>
      </c>
      <c r="E6" s="17">
        <v>6.2858779405902385E-2</v>
      </c>
      <c r="F6" s="17">
        <v>9.6705814470619024E-3</v>
      </c>
      <c r="G6" s="17">
        <v>0.83650529517085437</v>
      </c>
      <c r="H6" s="17">
        <v>0.83650529517085437</v>
      </c>
      <c r="I6" s="17">
        <v>4.3517616511778566E-2</v>
      </c>
      <c r="J6" s="17">
        <v>6.106972183819587</v>
      </c>
      <c r="K6" s="28">
        <v>777.99896531040952</v>
      </c>
      <c r="L6" s="132">
        <v>69.076152339659117</v>
      </c>
      <c r="M6" s="28" t="s">
        <v>314</v>
      </c>
      <c r="N6" s="17">
        <v>5.1014921654103569</v>
      </c>
      <c r="O6" s="17">
        <v>5.7920871747017162E-2</v>
      </c>
      <c r="P6" s="17">
        <v>8.9109033456949462E-3</v>
      </c>
      <c r="Q6" s="17">
        <v>0.77079313940261285</v>
      </c>
      <c r="R6" s="17">
        <v>0.77079313940261285</v>
      </c>
      <c r="S6" s="17">
        <v>4.0099065055627263E-2</v>
      </c>
      <c r="T6" s="17">
        <v>5.6272354628063566</v>
      </c>
      <c r="U6" s="28">
        <v>716.88280801750591</v>
      </c>
      <c r="V6" s="132">
        <v>63.649835365195294</v>
      </c>
      <c r="W6" t="s">
        <v>314</v>
      </c>
    </row>
    <row r="7" spans="1:23" x14ac:dyDescent="0.25">
      <c r="A7" s="4" t="s">
        <v>313</v>
      </c>
      <c r="B7" s="4">
        <v>2104008210</v>
      </c>
      <c r="C7" s="4" t="s">
        <v>134</v>
      </c>
      <c r="D7" s="17">
        <v>9.0467006460766622E-2</v>
      </c>
      <c r="E7" s="17">
        <v>4.7793890205688012E-3</v>
      </c>
      <c r="F7" s="17">
        <v>6.8276986008125747E-4</v>
      </c>
      <c r="G7" s="17">
        <v>5.2231894296216219E-2</v>
      </c>
      <c r="H7" s="17">
        <v>5.2231894296216219E-2</v>
      </c>
      <c r="I7" s="17">
        <v>2.9017719053453439E-3</v>
      </c>
      <c r="J7" s="17">
        <v>0.39395820926688563</v>
      </c>
      <c r="K7" s="28">
        <v>54.928883810780356</v>
      </c>
      <c r="L7" s="132">
        <v>4.8769678561809435</v>
      </c>
      <c r="M7" s="28" t="s">
        <v>314</v>
      </c>
      <c r="N7" s="17">
        <v>7.8620362124119741E-2</v>
      </c>
      <c r="O7" s="17">
        <v>4.1535285650478341E-3</v>
      </c>
      <c r="P7" s="17">
        <v>5.9336122357826228E-4</v>
      </c>
      <c r="Q7" s="17">
        <v>4.5392133603737055E-2</v>
      </c>
      <c r="R7" s="17">
        <v>4.5392133603737055E-2</v>
      </c>
      <c r="S7" s="17">
        <v>2.5217852002076139E-3</v>
      </c>
      <c r="T7" s="17">
        <v>0.34236942600465725</v>
      </c>
      <c r="U7" s="28">
        <v>47.735952644239326</v>
      </c>
      <c r="V7" s="132">
        <v>4.2383294630946091</v>
      </c>
      <c r="W7" t="s">
        <v>314</v>
      </c>
    </row>
    <row r="8" spans="1:23" x14ac:dyDescent="0.25">
      <c r="A8" s="4" t="s">
        <v>313</v>
      </c>
      <c r="B8" s="4">
        <v>2104008220</v>
      </c>
      <c r="C8" s="4" t="s">
        <v>135</v>
      </c>
      <c r="D8" s="17">
        <v>5.778506769370096E-2</v>
      </c>
      <c r="E8" s="17">
        <v>9.6308446156168244E-3</v>
      </c>
      <c r="F8" s="17">
        <v>1.9261689231233655E-3</v>
      </c>
      <c r="G8" s="17">
        <v>5.778506769370096E-2</v>
      </c>
      <c r="H8" s="17">
        <v>5.778506769370096E-2</v>
      </c>
      <c r="I8" s="17">
        <v>4.3338800770275718E-3</v>
      </c>
      <c r="J8" s="17">
        <v>0.67801146093942466</v>
      </c>
      <c r="K8" s="28">
        <v>154.96042687881319</v>
      </c>
      <c r="L8" s="132">
        <v>13.758463096964078</v>
      </c>
      <c r="M8" s="28" t="s">
        <v>314</v>
      </c>
      <c r="N8" s="17">
        <v>5.0218119568439204E-2</v>
      </c>
      <c r="O8" s="17">
        <v>8.3696865947398696E-3</v>
      </c>
      <c r="P8" s="17">
        <v>1.6739373189479736E-3</v>
      </c>
      <c r="Q8" s="17">
        <v>5.0218119568439204E-2</v>
      </c>
      <c r="R8" s="17">
        <v>5.0218119568439204E-2</v>
      </c>
      <c r="S8" s="17">
        <v>3.7663589676329421E-3</v>
      </c>
      <c r="T8" s="17">
        <v>0.58922593626968656</v>
      </c>
      <c r="U8" s="28">
        <v>134.66837638099548</v>
      </c>
      <c r="V8" s="132">
        <v>11.956793899483776</v>
      </c>
      <c r="W8" t="s">
        <v>314</v>
      </c>
    </row>
    <row r="9" spans="1:23" x14ac:dyDescent="0.25">
      <c r="A9" s="4" t="s">
        <v>313</v>
      </c>
      <c r="B9" s="4">
        <v>2104008230</v>
      </c>
      <c r="C9" s="4" t="s">
        <v>136</v>
      </c>
      <c r="D9" s="17">
        <v>4.3488552073809361E-2</v>
      </c>
      <c r="E9" s="17">
        <v>5.7984736098412454E-3</v>
      </c>
      <c r="F9" s="17">
        <v>1.1596947219682497E-3</v>
      </c>
      <c r="G9" s="17">
        <v>3.7690078463968109E-2</v>
      </c>
      <c r="H9" s="17">
        <v>3.7690078463968109E-2</v>
      </c>
      <c r="I9" s="17">
        <v>2.609313124428561E-3</v>
      </c>
      <c r="J9" s="17">
        <v>0.31021833812650673</v>
      </c>
      <c r="K9" s="28">
        <v>93.297522874527672</v>
      </c>
      <c r="L9" s="132">
        <v>8.2836021516074876</v>
      </c>
      <c r="M9" s="28" t="s">
        <v>314</v>
      </c>
      <c r="N9" s="17">
        <v>3.7793731063482307E-2</v>
      </c>
      <c r="O9" s="17">
        <v>5.039164141797641E-3</v>
      </c>
      <c r="P9" s="17">
        <v>1.0078328283595281E-3</v>
      </c>
      <c r="Q9" s="17">
        <v>3.2754566921684665E-2</v>
      </c>
      <c r="R9" s="17">
        <v>3.2754566921684665E-2</v>
      </c>
      <c r="S9" s="17">
        <v>2.2676238638089379E-3</v>
      </c>
      <c r="T9" s="17">
        <v>0.2695952815861738</v>
      </c>
      <c r="U9" s="28">
        <v>81.080222731364074</v>
      </c>
      <c r="V9" s="132">
        <v>7.1988653800980362</v>
      </c>
      <c r="W9" t="s">
        <v>314</v>
      </c>
    </row>
    <row r="10" spans="1:23" x14ac:dyDescent="0.25">
      <c r="A10" s="4" t="s">
        <v>313</v>
      </c>
      <c r="B10" s="4">
        <v>2104008310</v>
      </c>
      <c r="C10" s="4" t="s">
        <v>137</v>
      </c>
      <c r="D10" s="17">
        <v>1.8359573927854123</v>
      </c>
      <c r="E10" s="17">
        <v>5.0303245338688331E-2</v>
      </c>
      <c r="F10" s="17">
        <v>1.3856282209701224E-2</v>
      </c>
      <c r="G10" s="17">
        <v>0.4206084644055319</v>
      </c>
      <c r="H10" s="17">
        <v>0.4206084644055319</v>
      </c>
      <c r="I10" s="17">
        <v>1.375334892017911E-2</v>
      </c>
      <c r="J10" s="17">
        <v>4.1974365172684802</v>
      </c>
      <c r="K10" s="28">
        <v>1114.7388894048136</v>
      </c>
      <c r="L10" s="132">
        <v>98.974261890884165</v>
      </c>
      <c r="M10" s="28" t="s">
        <v>314</v>
      </c>
      <c r="N10" s="17">
        <v>1.5955389783770753</v>
      </c>
      <c r="O10" s="17">
        <v>4.3716041010611342E-2</v>
      </c>
      <c r="P10" s="17">
        <v>1.2041803610393018E-2</v>
      </c>
      <c r="Q10" s="17">
        <v>0.36552983322570543</v>
      </c>
      <c r="R10" s="17">
        <v>0.36552983322570543</v>
      </c>
      <c r="S10" s="17">
        <v>1.1952349423574482E-2</v>
      </c>
      <c r="T10" s="17">
        <v>3.6477826767017718</v>
      </c>
      <c r="U10" s="28">
        <v>968.7639570217616</v>
      </c>
      <c r="V10" s="132">
        <v>86.013593411023038</v>
      </c>
      <c r="W10" t="s">
        <v>314</v>
      </c>
    </row>
    <row r="11" spans="1:23" x14ac:dyDescent="0.25">
      <c r="A11" s="4" t="s">
        <v>313</v>
      </c>
      <c r="B11" s="4">
        <v>2104008320</v>
      </c>
      <c r="C11" s="4" t="s">
        <v>138</v>
      </c>
      <c r="D11" s="17">
        <v>1.1727029154088888</v>
      </c>
      <c r="E11" s="17">
        <v>0.15722424432009602</v>
      </c>
      <c r="F11" s="17">
        <v>3.9090097180296268E-2</v>
      </c>
      <c r="G11" s="17">
        <v>0.77448479153294414</v>
      </c>
      <c r="H11" s="17">
        <v>0.77448479153294414</v>
      </c>
      <c r="I11" s="17">
        <v>2.4406071862284787E-2</v>
      </c>
      <c r="J11" s="17">
        <v>12.082841730051882</v>
      </c>
      <c r="K11" s="28">
        <v>3144.8010987378202</v>
      </c>
      <c r="L11" s="132">
        <v>279.21728621794421</v>
      </c>
      <c r="M11" s="28" t="s">
        <v>314</v>
      </c>
      <c r="N11" s="17">
        <v>1.0191376003299275</v>
      </c>
      <c r="O11" s="17">
        <v>0.13663574718256766</v>
      </c>
      <c r="P11" s="17">
        <v>3.3971253344330911E-2</v>
      </c>
      <c r="Q11" s="17">
        <v>0.67306609505588222</v>
      </c>
      <c r="R11" s="17">
        <v>0.67306609505588222</v>
      </c>
      <c r="S11" s="17">
        <v>2.121009949270581E-2</v>
      </c>
      <c r="T11" s="17">
        <v>10.500594962397459</v>
      </c>
      <c r="U11" s="28">
        <v>2732.9897480173772</v>
      </c>
      <c r="V11" s="132">
        <v>242.653813943638</v>
      </c>
      <c r="W11" t="s">
        <v>314</v>
      </c>
    </row>
    <row r="12" spans="1:23" x14ac:dyDescent="0.25">
      <c r="A12" s="4" t="s">
        <v>313</v>
      </c>
      <c r="B12" s="4">
        <v>2104008330</v>
      </c>
      <c r="C12" s="4" t="s">
        <v>139</v>
      </c>
      <c r="D12" s="17">
        <v>0.88256627255672138</v>
      </c>
      <c r="E12" s="17">
        <v>9.4660506726379184E-2</v>
      </c>
      <c r="F12" s="17">
        <v>2.3535100601512576E-2</v>
      </c>
      <c r="G12" s="17">
        <v>0.51739754259640536</v>
      </c>
      <c r="H12" s="17">
        <v>0.51739754259640536</v>
      </c>
      <c r="I12" s="17">
        <v>1.4694242225014194E-2</v>
      </c>
      <c r="J12" s="17">
        <v>7.2747554030708619</v>
      </c>
      <c r="K12" s="28">
        <v>1893.4005175062323</v>
      </c>
      <c r="L12" s="132">
        <v>168.10925003617103</v>
      </c>
      <c r="M12" s="28" t="s">
        <v>314</v>
      </c>
      <c r="N12" s="17">
        <v>0.7669943182770812</v>
      </c>
      <c r="O12" s="17">
        <v>8.2264724000877892E-2</v>
      </c>
      <c r="P12" s="17">
        <v>2.0453181820722165E-2</v>
      </c>
      <c r="Q12" s="17">
        <v>0.44964439249683924</v>
      </c>
      <c r="R12" s="17">
        <v>0.44964439249683924</v>
      </c>
      <c r="S12" s="17">
        <v>1.2770032855803167E-2</v>
      </c>
      <c r="T12" s="17">
        <v>6.3221269999893943</v>
      </c>
      <c r="U12" s="28">
        <v>1645.4599323665323</v>
      </c>
      <c r="V12" s="132">
        <v>146.09536262250222</v>
      </c>
      <c r="W12" t="s">
        <v>314</v>
      </c>
    </row>
    <row r="13" spans="1:23" x14ac:dyDescent="0.25">
      <c r="A13" s="4" t="s">
        <v>313</v>
      </c>
      <c r="B13" s="4">
        <v>2104008410</v>
      </c>
      <c r="C13" s="4" t="s">
        <v>140</v>
      </c>
      <c r="D13" s="17">
        <v>1.103656552061935E-2</v>
      </c>
      <c r="E13" s="17">
        <v>1.9273281415704453E-2</v>
      </c>
      <c r="F13" s="17">
        <v>1.5403221910652908E-3</v>
      </c>
      <c r="G13" s="17">
        <v>1.4247980267353943E-2</v>
      </c>
      <c r="H13" s="17">
        <v>1.4247980267353943E-2</v>
      </c>
      <c r="I13" s="17">
        <v>3.459948721680411E-4</v>
      </c>
      <c r="J13" s="17">
        <v>4.780775000518897E-2</v>
      </c>
      <c r="K13" s="28">
        <v>147.98208019903339</v>
      </c>
      <c r="L13" s="132">
        <v>13.138877005176548</v>
      </c>
      <c r="M13" s="28" t="s">
        <v>314</v>
      </c>
      <c r="N13" s="17">
        <v>9.5913285050939247E-3</v>
      </c>
      <c r="O13" s="17">
        <v>1.6749447378695881E-2</v>
      </c>
      <c r="P13" s="17">
        <v>1.338617173122548E-3</v>
      </c>
      <c r="Q13" s="17">
        <v>1.2382208851383573E-2</v>
      </c>
      <c r="R13" s="17">
        <v>1.2382208851383573E-2</v>
      </c>
      <c r="S13" s="17">
        <v>3.0068688251265246E-4</v>
      </c>
      <c r="T13" s="17">
        <v>4.154733051079109E-2</v>
      </c>
      <c r="U13" s="28">
        <v>128.60384341526867</v>
      </c>
      <c r="V13" s="132">
        <v>11.418342536836676</v>
      </c>
      <c r="W13" t="s">
        <v>314</v>
      </c>
    </row>
    <row r="14" spans="1:23" x14ac:dyDescent="0.25">
      <c r="A14" s="4" t="s">
        <v>313</v>
      </c>
      <c r="B14" s="4">
        <v>2104008420</v>
      </c>
      <c r="C14" s="4" t="s">
        <v>141</v>
      </c>
      <c r="D14" s="17">
        <v>4.9881136086905815E-2</v>
      </c>
      <c r="E14" s="17">
        <v>8.7108002153557282E-2</v>
      </c>
      <c r="F14" s="17">
        <v>6.961678493790791E-3</v>
      </c>
      <c r="G14" s="17">
        <v>6.4395526067564837E-2</v>
      </c>
      <c r="H14" s="17">
        <v>6.4395526067564837E-2</v>
      </c>
      <c r="I14" s="17">
        <v>1.5637670316677569E-3</v>
      </c>
      <c r="J14" s="17">
        <v>0.21607309625103185</v>
      </c>
      <c r="K14" s="28">
        <v>668.82349106166123</v>
      </c>
      <c r="L14" s="132">
        <v>59.382795372337007</v>
      </c>
      <c r="M14" s="28" t="s">
        <v>314</v>
      </c>
      <c r="N14" s="17">
        <v>4.3349206917947108E-2</v>
      </c>
      <c r="O14" s="17">
        <v>7.5701219053725302E-2</v>
      </c>
      <c r="P14" s="17">
        <v>6.0500474768212034E-3</v>
      </c>
      <c r="Q14" s="17">
        <v>5.5962939160596116E-2</v>
      </c>
      <c r="R14" s="17">
        <v>5.5962939160596116E-2</v>
      </c>
      <c r="S14" s="17">
        <v>1.3589919144809627E-3</v>
      </c>
      <c r="T14" s="17">
        <v>0.1877783485618382</v>
      </c>
      <c r="U14" s="28">
        <v>581.24113001561318</v>
      </c>
      <c r="V14" s="132">
        <v>51.606624986981736</v>
      </c>
      <c r="W14" t="s">
        <v>314</v>
      </c>
    </row>
    <row r="15" spans="1:23" x14ac:dyDescent="0.25">
      <c r="A15" s="4" t="s">
        <v>313</v>
      </c>
      <c r="B15" s="4">
        <v>2104008610</v>
      </c>
      <c r="C15" s="4" t="s">
        <v>142</v>
      </c>
      <c r="D15" s="17">
        <v>1.191160262811229</v>
      </c>
      <c r="E15" s="17">
        <v>4.2313305533223988E-2</v>
      </c>
      <c r="F15" s="17">
        <v>1.0494804077631972E-2</v>
      </c>
      <c r="G15" s="17">
        <v>0.25896328072186914</v>
      </c>
      <c r="H15" s="17">
        <v>0.25896328072186914</v>
      </c>
      <c r="I15" s="17">
        <v>6.3954960750454374E-3</v>
      </c>
      <c r="J15" s="17">
        <v>1.5891931940816888</v>
      </c>
      <c r="K15" s="28">
        <v>844.30773456892803</v>
      </c>
      <c r="L15" s="132">
        <v>74.963505473771875</v>
      </c>
      <c r="M15" s="28" t="s">
        <v>314</v>
      </c>
      <c r="N15" s="17">
        <v>1.0890121806011834</v>
      </c>
      <c r="O15" s="17">
        <v>3.868472326169508E-2</v>
      </c>
      <c r="P15" s="17">
        <v>9.594820974459765E-3</v>
      </c>
      <c r="Q15" s="17">
        <v>0.23675585547908068</v>
      </c>
      <c r="R15" s="17">
        <v>0.23675585547908068</v>
      </c>
      <c r="S15" s="17">
        <v>5.8470495903499538E-3</v>
      </c>
      <c r="T15" s="17">
        <v>1.4529117531162361</v>
      </c>
      <c r="U15" s="28">
        <v>771.90402990052246</v>
      </c>
      <c r="V15" s="132">
        <v>68.535001636835545</v>
      </c>
      <c r="W15" t="s">
        <v>314</v>
      </c>
    </row>
    <row r="16" spans="1:23" x14ac:dyDescent="0.25">
      <c r="A16" s="4" t="s">
        <v>313</v>
      </c>
      <c r="B16" s="4">
        <v>2104004000</v>
      </c>
      <c r="C16" s="4" t="s">
        <v>263</v>
      </c>
      <c r="D16" s="17">
        <v>9.6481538486993354E-2</v>
      </c>
      <c r="E16" s="17">
        <v>1.5116896647846219</v>
      </c>
      <c r="F16" s="17">
        <v>3.9110312369064664</v>
      </c>
      <c r="G16" s="17">
        <v>6.178568112198727E-2</v>
      </c>
      <c r="H16" s="17">
        <v>6.178568112198727E-2</v>
      </c>
      <c r="I16" s="17">
        <v>3.3148017921946181E-3</v>
      </c>
      <c r="J16" s="17">
        <v>6.0601455567149187E-2</v>
      </c>
      <c r="K16" s="28">
        <v>36322.162837803146</v>
      </c>
      <c r="L16" s="132">
        <v>270.63545157641892</v>
      </c>
      <c r="M16" s="28" t="s">
        <v>315</v>
      </c>
      <c r="N16" s="17">
        <v>8.9109884483821469E-2</v>
      </c>
      <c r="O16" s="17">
        <v>1.396189297111013</v>
      </c>
      <c r="P16" s="17">
        <v>3.6122096226765223</v>
      </c>
      <c r="Q16" s="17">
        <v>5.7064957647589093E-2</v>
      </c>
      <c r="R16" s="17">
        <v>5.7064957647589093E-2</v>
      </c>
      <c r="S16" s="17">
        <v>3.0615349777931553E-3</v>
      </c>
      <c r="T16" s="17">
        <v>5.5971212626010326E-2</v>
      </c>
      <c r="U16" s="28">
        <v>33546.974741862403</v>
      </c>
      <c r="V16" s="132">
        <v>249.95760023512329</v>
      </c>
      <c r="W16" t="s">
        <v>315</v>
      </c>
    </row>
    <row r="17" spans="1:23" x14ac:dyDescent="0.25">
      <c r="A17" s="4" t="s">
        <v>313</v>
      </c>
      <c r="B17" s="4">
        <v>2103004001</v>
      </c>
      <c r="C17" s="4" t="s">
        <v>143</v>
      </c>
      <c r="D17" s="17">
        <v>3.0520565446904992E-2</v>
      </c>
      <c r="E17" s="17">
        <v>0.77050515854739143</v>
      </c>
      <c r="F17" s="17">
        <v>0.54462729073500948</v>
      </c>
      <c r="G17" s="17">
        <v>1.9545023368583939E-2</v>
      </c>
      <c r="H17" s="17">
        <v>1.9545023368583939E-2</v>
      </c>
      <c r="I17" s="17">
        <v>1.0485905037245285E-3</v>
      </c>
      <c r="J17" s="17">
        <v>1.9170410420686079E-2</v>
      </c>
      <c r="K17" s="28">
        <v>11857.218273201528</v>
      </c>
      <c r="L17" s="132">
        <v>88.347812219712765</v>
      </c>
      <c r="M17" s="28" t="s">
        <v>315</v>
      </c>
      <c r="N17" s="17">
        <v>2.9996299748623157E-2</v>
      </c>
      <c r="O17" s="17">
        <v>0.75726983937618053</v>
      </c>
      <c r="P17" s="17">
        <v>0.53527197890839018</v>
      </c>
      <c r="Q17" s="17">
        <v>1.9209289571577737E-2</v>
      </c>
      <c r="R17" s="17">
        <v>1.9209289571577737E-2</v>
      </c>
      <c r="S17" s="17">
        <v>1.0305783855151455E-3</v>
      </c>
      <c r="T17" s="17">
        <v>1.8841111521455834E-2</v>
      </c>
      <c r="U17" s="28">
        <v>11653.541417066783</v>
      </c>
      <c r="V17" s="132">
        <v>86.83022148091672</v>
      </c>
      <c r="W17" t="s">
        <v>315</v>
      </c>
    </row>
    <row r="18" spans="1:23" x14ac:dyDescent="0.25">
      <c r="A18" s="4" t="s">
        <v>313</v>
      </c>
      <c r="B18" s="4">
        <v>2104004000</v>
      </c>
      <c r="C18" s="4" t="s">
        <v>276</v>
      </c>
      <c r="D18" s="17">
        <v>6.5566167836831723E-4</v>
      </c>
      <c r="E18" s="17">
        <v>1.6552468738611097E-2</v>
      </c>
      <c r="F18" s="17">
        <v>2.6578279587516157E-2</v>
      </c>
      <c r="G18" s="17">
        <v>3.6783263863580218E-4</v>
      </c>
      <c r="H18" s="17">
        <v>3.6783263863580218E-4</v>
      </c>
      <c r="I18" s="17">
        <v>2.2526470251317809E-5</v>
      </c>
      <c r="J18" s="17">
        <v>4.1183062264369454E-4</v>
      </c>
      <c r="K18" s="28">
        <v>251.9561616495586</v>
      </c>
      <c r="L18" s="132">
        <v>1.8391631931790109</v>
      </c>
      <c r="M18" s="28" t="s">
        <v>315</v>
      </c>
      <c r="N18" s="17">
        <v>6.1857392536594866E-4</v>
      </c>
      <c r="O18" s="17">
        <v>1.5616172028873875E-2</v>
      </c>
      <c r="P18" s="17">
        <v>2.5074869061796883E-2</v>
      </c>
      <c r="Q18" s="17">
        <v>3.4702604508608602E-4</v>
      </c>
      <c r="R18" s="17">
        <v>3.4702604508608602E-4</v>
      </c>
      <c r="S18" s="17">
        <v>2.1252251866654536E-5</v>
      </c>
      <c r="T18" s="17">
        <v>3.8853526634129214E-4</v>
      </c>
      <c r="U18" s="28">
        <v>237.70416523284194</v>
      </c>
      <c r="V18" s="132">
        <v>1.7351302254304311</v>
      </c>
      <c r="W18" t="s">
        <v>315</v>
      </c>
    </row>
    <row r="19" spans="1:23" x14ac:dyDescent="0.25">
      <c r="A19" s="4" t="s">
        <v>313</v>
      </c>
      <c r="B19" s="4">
        <v>2104007000</v>
      </c>
      <c r="C19" s="4" t="s">
        <v>280</v>
      </c>
      <c r="D19" s="17">
        <v>2.7546766589781747E-3</v>
      </c>
      <c r="E19" s="17">
        <v>4.3160756974891287E-2</v>
      </c>
      <c r="F19" s="17">
        <v>0.11166516029689115</v>
      </c>
      <c r="G19" s="17">
        <v>1.7640636365759382E-3</v>
      </c>
      <c r="H19" s="17">
        <v>1.7640636365759382E-3</v>
      </c>
      <c r="I19" s="17">
        <v>9.4642014102299114E-5</v>
      </c>
      <c r="J19" s="17">
        <v>1.7302524168748994E-3</v>
      </c>
      <c r="K19" s="28">
        <v>965.87540637383427</v>
      </c>
      <c r="L19" s="132">
        <v>7.7270032509906743</v>
      </c>
      <c r="M19" s="28" t="s">
        <v>315</v>
      </c>
      <c r="N19" s="17">
        <v>2.2787211837251389E-3</v>
      </c>
      <c r="O19" s="17">
        <v>3.5703403121286822E-2</v>
      </c>
      <c r="P19" s="17">
        <v>9.2371554905822162E-2</v>
      </c>
      <c r="Q19" s="17">
        <v>1.4592671575457828E-3</v>
      </c>
      <c r="R19" s="17">
        <v>1.4592671575457828E-3</v>
      </c>
      <c r="S19" s="17">
        <v>7.8289683002331269E-5</v>
      </c>
      <c r="T19" s="17">
        <v>1.4312978703594887E-3</v>
      </c>
      <c r="U19" s="28">
        <v>798.99059737908112</v>
      </c>
      <c r="V19" s="132">
        <v>6.3919247790326512</v>
      </c>
      <c r="W19" t="s">
        <v>315</v>
      </c>
    </row>
    <row r="20" spans="1:23" x14ac:dyDescent="0.25">
      <c r="A20" s="4" t="s">
        <v>313</v>
      </c>
      <c r="B20" s="4">
        <v>2104006010</v>
      </c>
      <c r="C20" s="4" t="s">
        <v>144</v>
      </c>
      <c r="D20" s="17">
        <v>6.6969683938961262E-4</v>
      </c>
      <c r="E20" s="17">
        <v>1.1445727800477033E-2</v>
      </c>
      <c r="F20" s="17">
        <v>7.3057837024321452E-5</v>
      </c>
      <c r="G20" s="17">
        <v>9.2539926897473835E-4</v>
      </c>
      <c r="H20" s="17">
        <v>9.2539926897473835E-4</v>
      </c>
      <c r="I20" s="17">
        <v>2.4352612341440468E-3</v>
      </c>
      <c r="J20" s="17">
        <v>4.8705224682880936E-3</v>
      </c>
      <c r="K20" s="28">
        <v>300.62303278688501</v>
      </c>
      <c r="L20" s="132">
        <v>296.18032786885243</v>
      </c>
      <c r="M20" s="28" t="s">
        <v>316</v>
      </c>
      <c r="N20" s="17">
        <v>6.6969683938961262E-4</v>
      </c>
      <c r="O20" s="17">
        <v>1.1445727800477033E-2</v>
      </c>
      <c r="P20" s="17">
        <v>7.3057837024321452E-5</v>
      </c>
      <c r="Q20" s="17">
        <v>9.2539926897473835E-4</v>
      </c>
      <c r="R20" s="17">
        <v>9.2539926897473835E-4</v>
      </c>
      <c r="S20" s="17">
        <v>2.4352612341440468E-3</v>
      </c>
      <c r="T20" s="17">
        <v>4.8705224682880936E-3</v>
      </c>
      <c r="U20" s="28">
        <v>300.62303278688501</v>
      </c>
      <c r="V20" s="132">
        <v>296.18032786885243</v>
      </c>
      <c r="W20" t="s">
        <v>316</v>
      </c>
    </row>
    <row r="21" spans="1:23" x14ac:dyDescent="0.25">
      <c r="A21" s="4" t="s">
        <v>313</v>
      </c>
      <c r="B21" s="4">
        <v>2103006000</v>
      </c>
      <c r="C21" s="4" t="s">
        <v>145</v>
      </c>
      <c r="D21" s="17">
        <v>5.2612909836065582E-3</v>
      </c>
      <c r="E21" s="17">
        <v>9.5659836065573781E-2</v>
      </c>
      <c r="F21" s="17">
        <v>5.7395901639344256E-4</v>
      </c>
      <c r="G21" s="17">
        <v>7.2701475409836071E-3</v>
      </c>
      <c r="H21" s="17">
        <v>7.2701475409836071E-3</v>
      </c>
      <c r="I21" s="17">
        <v>1.9131967213114758E-2</v>
      </c>
      <c r="J21" s="17">
        <v>3.8263934426229516E-2</v>
      </c>
      <c r="K21" s="28">
        <v>1941.894672131147</v>
      </c>
      <c r="L21" s="132">
        <v>1913.1967213114763</v>
      </c>
      <c r="M21" s="28" t="s">
        <v>316</v>
      </c>
      <c r="N21" s="17">
        <v>5.2612909836065582E-3</v>
      </c>
      <c r="O21" s="17">
        <v>9.5659836065573781E-2</v>
      </c>
      <c r="P21" s="17">
        <v>5.7395901639344256E-4</v>
      </c>
      <c r="Q21" s="17">
        <v>7.2701475409836071E-3</v>
      </c>
      <c r="R21" s="17">
        <v>7.2701475409836071E-3</v>
      </c>
      <c r="S21" s="17">
        <v>1.9131967213114758E-2</v>
      </c>
      <c r="T21" s="17">
        <v>3.8263934426229516E-2</v>
      </c>
      <c r="U21" s="28">
        <v>1941.894672131147</v>
      </c>
      <c r="V21" s="132">
        <v>1913.1967213114763</v>
      </c>
      <c r="W21" t="s">
        <v>316</v>
      </c>
    </row>
    <row r="22" spans="1:23" x14ac:dyDescent="0.25">
      <c r="A22" s="4" t="s">
        <v>313</v>
      </c>
      <c r="B22" s="4">
        <v>2104002000</v>
      </c>
      <c r="C22" s="4" t="s">
        <v>146</v>
      </c>
      <c r="D22" s="17">
        <v>0.14867563070168169</v>
      </c>
      <c r="E22" s="17">
        <v>7.0174897691193755E-2</v>
      </c>
      <c r="F22" s="17">
        <v>0.13826833655256393</v>
      </c>
      <c r="G22" s="17">
        <v>0.11879182893064365</v>
      </c>
      <c r="H22" s="17">
        <v>0.11879182893064365</v>
      </c>
      <c r="I22" s="17">
        <v>1.8821591468679393E-2</v>
      </c>
      <c r="J22" s="17">
        <v>1.9413320478872085</v>
      </c>
      <c r="K22" s="28">
        <v>451.97391733311224</v>
      </c>
      <c r="L22" s="132">
        <v>29.735126140336337</v>
      </c>
      <c r="M22" s="28" t="s">
        <v>314</v>
      </c>
      <c r="N22" s="17">
        <v>0.13017800705688054</v>
      </c>
      <c r="O22" s="17">
        <v>6.1444019330847623E-2</v>
      </c>
      <c r="P22" s="17">
        <v>0.12106554656289888</v>
      </c>
      <c r="Q22" s="17">
        <v>0.10401222763844756</v>
      </c>
      <c r="R22" s="17">
        <v>0.10401222763844756</v>
      </c>
      <c r="S22" s="17">
        <v>1.6479884803365791E-2</v>
      </c>
      <c r="T22" s="17">
        <v>1.6997993271452174</v>
      </c>
      <c r="U22" s="28">
        <v>395.74114145291674</v>
      </c>
      <c r="V22" s="132">
        <v>26.03560141137611</v>
      </c>
      <c r="W22" t="s">
        <v>314</v>
      </c>
    </row>
    <row r="23" spans="1:23" x14ac:dyDescent="0.25">
      <c r="A23" s="4" t="s">
        <v>313</v>
      </c>
      <c r="B23" s="4">
        <v>2103002000</v>
      </c>
      <c r="C23" s="4" t="s">
        <v>147</v>
      </c>
      <c r="D23" s="17">
        <v>4.0148138126104761E-4</v>
      </c>
      <c r="E23" s="17">
        <v>1.8949921195521454E-4</v>
      </c>
      <c r="F23" s="17">
        <v>3.7337768457277432E-4</v>
      </c>
      <c r="G23" s="17">
        <v>3.2078362362757709E-4</v>
      </c>
      <c r="H23" s="17">
        <v>3.2078362362757709E-4</v>
      </c>
      <c r="I23" s="17">
        <v>5.0825535460742351E-5</v>
      </c>
      <c r="J23" s="17">
        <v>5.24234313581613E-3</v>
      </c>
      <c r="K23" s="28">
        <v>18.456877950864644</v>
      </c>
      <c r="L23" s="132">
        <v>1.2205033990335847</v>
      </c>
      <c r="M23" s="28" t="s">
        <v>314</v>
      </c>
      <c r="N23" s="17">
        <v>3.7940475162931149E-4</v>
      </c>
      <c r="O23" s="17">
        <v>1.7907904276903502E-4</v>
      </c>
      <c r="P23" s="17">
        <v>3.5284641901525964E-4</v>
      </c>
      <c r="Q23" s="17">
        <v>3.031443965518199E-4</v>
      </c>
      <c r="R23" s="17">
        <v>3.031443965518199E-4</v>
      </c>
      <c r="S23" s="17">
        <v>4.8030744532512681E-5</v>
      </c>
      <c r="T23" s="17">
        <v>4.9540775443997339E-3</v>
      </c>
      <c r="U23" s="28">
        <v>17.43676104884138</v>
      </c>
      <c r="V23" s="132">
        <v>1.1533904449531067</v>
      </c>
      <c r="W23" t="s">
        <v>314</v>
      </c>
    </row>
    <row r="24" spans="1:23" x14ac:dyDescent="0.25">
      <c r="A24" s="4" t="s">
        <v>313</v>
      </c>
      <c r="B24" s="4">
        <v>2103008000</v>
      </c>
      <c r="C24" s="4" t="s">
        <v>148</v>
      </c>
      <c r="D24" s="17">
        <v>1.2267802496122725E-3</v>
      </c>
      <c r="E24" s="17">
        <v>4.8776475754854215E-5</v>
      </c>
      <c r="F24" s="17">
        <v>1.0633485245822148E-5</v>
      </c>
      <c r="G24" s="17">
        <v>3.4500168382878608E-4</v>
      </c>
      <c r="H24" s="17">
        <v>3.4500168382878608E-4</v>
      </c>
      <c r="I24" s="17">
        <v>1.2632663031087651E-5</v>
      </c>
      <c r="J24" s="17">
        <v>2.4538740814386123E-3</v>
      </c>
      <c r="K24" s="28">
        <v>11.138643290370357</v>
      </c>
      <c r="L24" s="132">
        <v>0.91979647376361562</v>
      </c>
      <c r="M24" s="28" t="s">
        <v>314</v>
      </c>
      <c r="N24" s="17">
        <v>1.0057156829621557E-3</v>
      </c>
      <c r="O24" s="17">
        <v>4.0923651207836456E-5</v>
      </c>
      <c r="P24" s="17">
        <v>8.6857798127814742E-6</v>
      </c>
      <c r="Q24" s="17">
        <v>2.969413117542813E-4</v>
      </c>
      <c r="R24" s="17">
        <v>2.969413117542813E-4</v>
      </c>
      <c r="S24" s="17">
        <v>1.1445738305269714E-5</v>
      </c>
      <c r="T24" s="17">
        <v>2.1589395409395405E-3</v>
      </c>
      <c r="U24" s="28">
        <v>9.0984094863238223</v>
      </c>
      <c r="V24" s="132">
        <v>0.75131995380559735</v>
      </c>
      <c r="W24" t="s">
        <v>314</v>
      </c>
    </row>
    <row r="25" spans="1:23" x14ac:dyDescent="0.25">
      <c r="A25" s="8" t="s">
        <v>313</v>
      </c>
      <c r="B25" s="8">
        <v>2102012000</v>
      </c>
      <c r="C25" s="8" t="s">
        <v>149</v>
      </c>
      <c r="D25" s="32">
        <v>5.2382327984415976E-4</v>
      </c>
      <c r="E25" s="32">
        <v>2.7346164289603576E-2</v>
      </c>
      <c r="F25" s="32">
        <v>1.9363248899601764E-2</v>
      </c>
      <c r="G25" s="32">
        <v>2.7260720241086738E-3</v>
      </c>
      <c r="H25" s="32">
        <v>2.7260720241086738E-3</v>
      </c>
      <c r="I25" s="32">
        <v>1.9058091583470187E-5</v>
      </c>
      <c r="J25" s="32">
        <v>6.5100227441401174E-3</v>
      </c>
      <c r="K25" s="29">
        <v>145.09904851683226</v>
      </c>
      <c r="L25" s="133">
        <v>1.0476465596883191</v>
      </c>
      <c r="M25" s="29" t="s">
        <v>315</v>
      </c>
      <c r="N25" s="32">
        <v>5.2382327984415976E-4</v>
      </c>
      <c r="O25" s="32">
        <v>2.7346164289603576E-2</v>
      </c>
      <c r="P25" s="32">
        <v>1.9363248899601764E-2</v>
      </c>
      <c r="Q25" s="32">
        <v>2.7260720241086738E-3</v>
      </c>
      <c r="R25" s="32">
        <v>2.7260720241086738E-3</v>
      </c>
      <c r="S25" s="32">
        <v>1.9058091583470187E-5</v>
      </c>
      <c r="T25" s="32">
        <v>6.5100227441401174E-3</v>
      </c>
      <c r="U25" s="29">
        <v>145.09904851683226</v>
      </c>
      <c r="V25" s="133">
        <v>1.0476465596883191</v>
      </c>
      <c r="W25" s="7" t="s">
        <v>315</v>
      </c>
    </row>
    <row r="26" spans="1:23" x14ac:dyDescent="0.25">
      <c r="A26" s="71" t="s">
        <v>313</v>
      </c>
      <c r="B26" s="71" t="s">
        <v>151</v>
      </c>
      <c r="C26" s="71"/>
      <c r="D26" s="72">
        <v>11.158624195547633</v>
      </c>
      <c r="E26" s="72">
        <v>3.0807230227196514</v>
      </c>
      <c r="F26" s="72">
        <v>4.8614820807075185</v>
      </c>
      <c r="G26" s="72">
        <v>3.248151755054359</v>
      </c>
      <c r="H26" s="72">
        <v>3.248151755054359</v>
      </c>
      <c r="I26" s="72">
        <v>0.15947339959122564</v>
      </c>
      <c r="J26" s="72">
        <v>34.977854576652021</v>
      </c>
      <c r="K26" s="31">
        <v>61161.638481390277</v>
      </c>
      <c r="L26" s="31"/>
      <c r="M26" s="31"/>
      <c r="N26" s="72">
        <v>10.051769409110554</v>
      </c>
      <c r="O26" s="72">
        <v>2.8701296147546085</v>
      </c>
      <c r="P26" s="72">
        <v>4.5020011291837081</v>
      </c>
      <c r="Q26" s="72">
        <v>2.8861137563685806</v>
      </c>
      <c r="R26" s="72">
        <v>2.8861137563685806</v>
      </c>
      <c r="S26" s="72">
        <v>0.14441134636992695</v>
      </c>
      <c r="T26" s="72">
        <v>30.814357159097749</v>
      </c>
      <c r="U26" s="31">
        <v>56856.433987475226</v>
      </c>
    </row>
    <row r="27" spans="1:23" x14ac:dyDescent="0.25">
      <c r="A27" s="4"/>
      <c r="B27" s="4"/>
      <c r="C27" s="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3" x14ac:dyDescent="0.25">
      <c r="A28" s="4" t="s">
        <v>317</v>
      </c>
      <c r="B28" s="4">
        <v>2104008100</v>
      </c>
      <c r="C28" s="4" t="s">
        <v>133</v>
      </c>
      <c r="D28" s="17">
        <v>3.474960283611968</v>
      </c>
      <c r="E28" s="17">
        <v>3.9453697543192646E-2</v>
      </c>
      <c r="F28" s="17">
        <v>6.0697996220296369E-3</v>
      </c>
      <c r="G28" s="17">
        <v>0.52503766730556367</v>
      </c>
      <c r="H28" s="17">
        <v>0.52503766730556367</v>
      </c>
      <c r="I28" s="17">
        <v>2.7314098299133369E-2</v>
      </c>
      <c r="J28" s="17">
        <v>3.8330784613117168</v>
      </c>
      <c r="K28" s="28">
        <v>485.51624545511589</v>
      </c>
      <c r="L28" s="132">
        <v>43.356069710773077</v>
      </c>
      <c r="M28" s="28" t="s">
        <v>314</v>
      </c>
      <c r="N28" s="17">
        <v>3.2144804151623303</v>
      </c>
      <c r="O28" s="17">
        <v>3.6496284189615966E-2</v>
      </c>
      <c r="P28" s="17">
        <v>5.6148129522486101E-3</v>
      </c>
      <c r="Q28" s="17">
        <v>0.48568132036950479</v>
      </c>
      <c r="R28" s="17">
        <v>0.48568132036950479</v>
      </c>
      <c r="S28" s="17">
        <v>2.5266658285118745E-2</v>
      </c>
      <c r="T28" s="17">
        <v>3.5457543793449982</v>
      </c>
      <c r="U28" s="28">
        <v>449.12238842522862</v>
      </c>
      <c r="V28" s="132">
        <v>40.106138081909435</v>
      </c>
      <c r="W28" t="s">
        <v>314</v>
      </c>
    </row>
    <row r="29" spans="1:23" x14ac:dyDescent="0.25">
      <c r="A29" s="4" t="s">
        <v>317</v>
      </c>
      <c r="B29" s="4">
        <v>2104008210</v>
      </c>
      <c r="C29" s="4" t="s">
        <v>134</v>
      </c>
      <c r="D29" s="17">
        <v>6.4599773684962503E-2</v>
      </c>
      <c r="E29" s="17">
        <v>3.412818232413115E-3</v>
      </c>
      <c r="F29" s="17">
        <v>4.8754546177330209E-4</v>
      </c>
      <c r="G29" s="17">
        <v>3.7297227825657628E-2</v>
      </c>
      <c r="H29" s="17">
        <v>3.7297227825657628E-2</v>
      </c>
      <c r="I29" s="17">
        <v>2.0720682125365329E-3</v>
      </c>
      <c r="J29" s="17">
        <v>0.28131373144319521</v>
      </c>
      <c r="K29" s="28">
        <v>38.998197111769251</v>
      </c>
      <c r="L29" s="132">
        <v>3.4824963498129651</v>
      </c>
      <c r="M29" s="28" t="s">
        <v>314</v>
      </c>
      <c r="N29" s="17">
        <v>5.6394290637455387E-2</v>
      </c>
      <c r="O29" s="17">
        <v>2.979321014808964E-3</v>
      </c>
      <c r="P29" s="17">
        <v>4.2561728782985195E-4</v>
      </c>
      <c r="Q29" s="17">
        <v>3.2559722518983675E-2</v>
      </c>
      <c r="R29" s="17">
        <v>3.2559722518983675E-2</v>
      </c>
      <c r="S29" s="17">
        <v>1.8088734732768712E-3</v>
      </c>
      <c r="T29" s="17">
        <v>0.24558117507782462</v>
      </c>
      <c r="U29" s="28">
        <v>34.044634165178721</v>
      </c>
      <c r="V29" s="132">
        <v>3.0401485963865849</v>
      </c>
      <c r="W29" t="s">
        <v>314</v>
      </c>
    </row>
    <row r="30" spans="1:23" x14ac:dyDescent="0.25">
      <c r="A30" s="4" t="s">
        <v>317</v>
      </c>
      <c r="B30" s="4">
        <v>2104008220</v>
      </c>
      <c r="C30" s="4" t="s">
        <v>135</v>
      </c>
      <c r="D30" s="17">
        <v>4.1262582254251882E-2</v>
      </c>
      <c r="E30" s="17">
        <v>6.8770970423753146E-3</v>
      </c>
      <c r="F30" s="17">
        <v>1.3754194084750631E-3</v>
      </c>
      <c r="G30" s="17">
        <v>4.1262582254251882E-2</v>
      </c>
      <c r="H30" s="17">
        <v>4.1262582254251882E-2</v>
      </c>
      <c r="I30" s="17">
        <v>3.0946936690688922E-3</v>
      </c>
      <c r="J30" s="17">
        <v>0.48414763178322223</v>
      </c>
      <c r="K30" s="28">
        <v>110.01820631858219</v>
      </c>
      <c r="L30" s="132">
        <v>9.824505497506836</v>
      </c>
      <c r="M30" s="28" t="s">
        <v>314</v>
      </c>
      <c r="N30" s="17">
        <v>3.6021396413032036E-2</v>
      </c>
      <c r="O30" s="17">
        <v>6.0035660688386727E-3</v>
      </c>
      <c r="P30" s="17">
        <v>1.2007132137677346E-3</v>
      </c>
      <c r="Q30" s="17">
        <v>3.6021396413032036E-2</v>
      </c>
      <c r="R30" s="17">
        <v>3.6021396413032036E-2</v>
      </c>
      <c r="S30" s="17">
        <v>2.7016047309774021E-3</v>
      </c>
      <c r="T30" s="17">
        <v>0.42265105124624258</v>
      </c>
      <c r="U30" s="28">
        <v>96.043660041272105</v>
      </c>
      <c r="V30" s="132">
        <v>8.5765937988827528</v>
      </c>
      <c r="W30" t="s">
        <v>314</v>
      </c>
    </row>
    <row r="31" spans="1:23" x14ac:dyDescent="0.25">
      <c r="A31" s="4" t="s">
        <v>317</v>
      </c>
      <c r="B31" s="4">
        <v>2104008230</v>
      </c>
      <c r="C31" s="4" t="s">
        <v>136</v>
      </c>
      <c r="D31" s="17">
        <v>3.1053869601324096E-2</v>
      </c>
      <c r="E31" s="17">
        <v>4.1405159468432123E-3</v>
      </c>
      <c r="F31" s="17">
        <v>8.2810318936864247E-4</v>
      </c>
      <c r="G31" s="17">
        <v>2.6913353654480884E-2</v>
      </c>
      <c r="H31" s="17">
        <v>2.6913353654480884E-2</v>
      </c>
      <c r="I31" s="17">
        <v>1.8632321760794464E-3</v>
      </c>
      <c r="J31" s="17">
        <v>0.22151760315611188</v>
      </c>
      <c r="K31" s="28">
        <v>66.239015517489051</v>
      </c>
      <c r="L31" s="132">
        <v>5.9150716402026671</v>
      </c>
      <c r="M31" s="28" t="s">
        <v>314</v>
      </c>
      <c r="N31" s="17">
        <v>2.7109397569334968E-2</v>
      </c>
      <c r="O31" s="17">
        <v>3.6145863425779963E-3</v>
      </c>
      <c r="P31" s="17">
        <v>7.2291726851559887E-4</v>
      </c>
      <c r="Q31" s="17">
        <v>2.3494811226756975E-2</v>
      </c>
      <c r="R31" s="17">
        <v>2.3494811226756975E-2</v>
      </c>
      <c r="S31" s="17">
        <v>1.6265638541600978E-3</v>
      </c>
      <c r="T31" s="17">
        <v>0.1933803693279228</v>
      </c>
      <c r="U31" s="28">
        <v>57.825315470133624</v>
      </c>
      <c r="V31" s="132">
        <v>5.1637374280245938</v>
      </c>
      <c r="W31" t="s">
        <v>314</v>
      </c>
    </row>
    <row r="32" spans="1:23" x14ac:dyDescent="0.25">
      <c r="A32" s="4" t="s">
        <v>317</v>
      </c>
      <c r="B32" s="4">
        <v>2104008310</v>
      </c>
      <c r="C32" s="4" t="s">
        <v>137</v>
      </c>
      <c r="D32" s="17">
        <v>1.3110020626205474</v>
      </c>
      <c r="E32" s="17">
        <v>3.592003749905967E-2</v>
      </c>
      <c r="F32" s="17">
        <v>9.8943551895890394E-3</v>
      </c>
      <c r="G32" s="17">
        <v>0.30034387865326895</v>
      </c>
      <c r="H32" s="17">
        <v>0.30034387865326895</v>
      </c>
      <c r="I32" s="17">
        <v>9.8208536173814889E-3</v>
      </c>
      <c r="J32" s="17">
        <v>2.9972634187927247</v>
      </c>
      <c r="K32" s="28">
        <v>791.43801805475073</v>
      </c>
      <c r="L32" s="132">
        <v>70.674549417749645</v>
      </c>
      <c r="M32" s="28" t="s">
        <v>314</v>
      </c>
      <c r="N32" s="17">
        <v>1.1444781789218053</v>
      </c>
      <c r="O32" s="17">
        <v>3.135746332965568E-2</v>
      </c>
      <c r="P32" s="17">
        <v>8.6375711616740024E-3</v>
      </c>
      <c r="Q32" s="17">
        <v>0.26219410715823938</v>
      </c>
      <c r="R32" s="17">
        <v>0.26219410715823938</v>
      </c>
      <c r="S32" s="17">
        <v>8.5734057816898995E-3</v>
      </c>
      <c r="T32" s="17">
        <v>2.6165501009449579</v>
      </c>
      <c r="U32" s="28">
        <v>690.90931849658796</v>
      </c>
      <c r="V32" s="132">
        <v>61.697446495289356</v>
      </c>
      <c r="W32" t="s">
        <v>314</v>
      </c>
    </row>
    <row r="33" spans="1:31" x14ac:dyDescent="0.25">
      <c r="A33" s="4" t="s">
        <v>317</v>
      </c>
      <c r="B33" s="4">
        <v>2104008320</v>
      </c>
      <c r="C33" s="4" t="s">
        <v>138</v>
      </c>
      <c r="D33" s="17">
        <v>0.8373919498260799</v>
      </c>
      <c r="E33" s="17">
        <v>0.11226911332887038</v>
      </c>
      <c r="F33" s="17">
        <v>2.7913064994202659E-2</v>
      </c>
      <c r="G33" s="17">
        <v>0.5530363412342052</v>
      </c>
      <c r="H33" s="17">
        <v>0.5530363412342052</v>
      </c>
      <c r="I33" s="17">
        <v>1.742764329807104E-2</v>
      </c>
      <c r="J33" s="17">
        <v>8.6279945780131229</v>
      </c>
      <c r="K33" s="28">
        <v>2232.7337571315516</v>
      </c>
      <c r="L33" s="132">
        <v>199.38068257438124</v>
      </c>
      <c r="M33" s="28" t="s">
        <v>314</v>
      </c>
      <c r="N33" s="17">
        <v>0.73102616777355989</v>
      </c>
      <c r="O33" s="17">
        <v>9.8008656153412144E-2</v>
      </c>
      <c r="P33" s="17">
        <v>2.4367538925785324E-2</v>
      </c>
      <c r="Q33" s="17">
        <v>0.48278949571454394</v>
      </c>
      <c r="R33" s="17">
        <v>0.48278949571454394</v>
      </c>
      <c r="S33" s="17">
        <v>1.5213978706338714E-2</v>
      </c>
      <c r="T33" s="17">
        <v>7.5320640630065316</v>
      </c>
      <c r="U33" s="28">
        <v>1949.1312311678339</v>
      </c>
      <c r="V33" s="132">
        <v>174.05528718146644</v>
      </c>
      <c r="W33" t="s">
        <v>314</v>
      </c>
    </row>
    <row r="34" spans="1:31" x14ac:dyDescent="0.25">
      <c r="A34" s="4" t="s">
        <v>317</v>
      </c>
      <c r="B34" s="4">
        <v>2104008330</v>
      </c>
      <c r="C34" s="4" t="s">
        <v>139</v>
      </c>
      <c r="D34" s="17">
        <v>0.63021408245524924</v>
      </c>
      <c r="E34" s="17">
        <v>6.759422634460574E-2</v>
      </c>
      <c r="F34" s="17">
        <v>1.6805708865473314E-2</v>
      </c>
      <c r="G34" s="17">
        <v>0.36945805398544523</v>
      </c>
      <c r="H34" s="17">
        <v>0.36945805398544523</v>
      </c>
      <c r="I34" s="17">
        <v>1.049271728273226E-2</v>
      </c>
      <c r="J34" s="17">
        <v>5.1946844605236366</v>
      </c>
      <c r="K34" s="28">
        <v>1344.269198107067</v>
      </c>
      <c r="L34" s="132">
        <v>120.04176916581258</v>
      </c>
      <c r="M34" s="28" t="s">
        <v>314</v>
      </c>
      <c r="N34" s="17">
        <v>0.55016409659762755</v>
      </c>
      <c r="O34" s="17">
        <v>5.9008387002739256E-2</v>
      </c>
      <c r="P34" s="17">
        <v>1.4671042575936736E-2</v>
      </c>
      <c r="Q34" s="17">
        <v>0.32252937876241972</v>
      </c>
      <c r="R34" s="17">
        <v>0.32252937876241972</v>
      </c>
      <c r="S34" s="17">
        <v>9.159929118401796E-3</v>
      </c>
      <c r="T34" s="17">
        <v>4.5348540486425239</v>
      </c>
      <c r="U34" s="28">
        <v>1173.51971266543</v>
      </c>
      <c r="V34" s="132">
        <v>104.79402686432329</v>
      </c>
      <c r="W34" t="s">
        <v>314</v>
      </c>
    </row>
    <row r="35" spans="1:31" x14ac:dyDescent="0.25">
      <c r="A35" s="4" t="s">
        <v>317</v>
      </c>
      <c r="B35" s="4">
        <v>2104008410</v>
      </c>
      <c r="C35" s="4" t="s">
        <v>140</v>
      </c>
      <c r="D35" s="17">
        <v>7.880880143861773E-3</v>
      </c>
      <c r="E35" s="17">
        <v>1.3762471715708307E-2</v>
      </c>
      <c r="F35" s="17">
        <v>1.0998978394172476E-3</v>
      </c>
      <c r="G35" s="17">
        <v>1.0174055014609539E-2</v>
      </c>
      <c r="H35" s="17">
        <v>1.0174055014609539E-2</v>
      </c>
      <c r="I35" s="17">
        <v>2.4706455217909928E-4</v>
      </c>
      <c r="J35" s="17">
        <v>3.4138079190912815E-2</v>
      </c>
      <c r="K35" s="28">
        <v>105.06374665270238</v>
      </c>
      <c r="L35" s="132">
        <v>9.3820776680286606</v>
      </c>
      <c r="M35" s="28" t="s">
        <v>314</v>
      </c>
      <c r="N35" s="17">
        <v>6.8798483332047303E-3</v>
      </c>
      <c r="O35" s="17">
        <v>1.2014358341414424E-2</v>
      </c>
      <c r="P35" s="17">
        <v>9.6018847883432002E-4</v>
      </c>
      <c r="Q35" s="17">
        <v>8.8817434292174577E-3</v>
      </c>
      <c r="R35" s="17">
        <v>8.8817434292174577E-3</v>
      </c>
      <c r="S35" s="17">
        <v>2.1568233705815908E-4</v>
      </c>
      <c r="T35" s="17">
        <v>2.9801849911820208E-2</v>
      </c>
      <c r="U35" s="28">
        <v>91.718517360250317</v>
      </c>
      <c r="V35" s="132">
        <v>8.1903632878693866</v>
      </c>
      <c r="W35" t="s">
        <v>314</v>
      </c>
    </row>
    <row r="36" spans="1:31" x14ac:dyDescent="0.25">
      <c r="A36" s="4" t="s">
        <v>317</v>
      </c>
      <c r="B36" s="4">
        <v>2104008420</v>
      </c>
      <c r="C36" s="4" t="s">
        <v>141</v>
      </c>
      <c r="D36" s="17">
        <v>3.5618621953190967E-2</v>
      </c>
      <c r="E36" s="17">
        <v>6.2201209539406992E-2</v>
      </c>
      <c r="F36" s="17">
        <v>4.9711256375150432E-3</v>
      </c>
      <c r="G36" s="17">
        <v>4.5982912147014145E-2</v>
      </c>
      <c r="H36" s="17">
        <v>4.5982912147014145E-2</v>
      </c>
      <c r="I36" s="17">
        <v>1.116639096326817E-3</v>
      </c>
      <c r="J36" s="17">
        <v>0.15429131197437315</v>
      </c>
      <c r="K36" s="28">
        <v>474.84872307354777</v>
      </c>
      <c r="L36" s="132">
        <v>42.403471629151788</v>
      </c>
      <c r="M36" s="28" t="s">
        <v>314</v>
      </c>
      <c r="N36" s="17">
        <v>3.1094333678780079E-2</v>
      </c>
      <c r="O36" s="17">
        <v>5.4300392844613334E-2</v>
      </c>
      <c r="P36" s="17">
        <v>4.3396917358332334E-3</v>
      </c>
      <c r="Q36" s="17">
        <v>4.0142148556457403E-2</v>
      </c>
      <c r="R36" s="17">
        <v>4.0142148556457403E-2</v>
      </c>
      <c r="S36" s="17">
        <v>9.7480325616154022E-4</v>
      </c>
      <c r="T36" s="17">
        <v>0.134693182250924</v>
      </c>
      <c r="U36" s="28">
        <v>414.53329277015342</v>
      </c>
      <c r="V36" s="132">
        <v>37.017369669951776</v>
      </c>
      <c r="W36" t="s">
        <v>314</v>
      </c>
    </row>
    <row r="37" spans="1:31" x14ac:dyDescent="0.25">
      <c r="A37" s="4" t="s">
        <v>317</v>
      </c>
      <c r="B37" s="4">
        <v>2104008610</v>
      </c>
      <c r="C37" s="4" t="s">
        <v>142</v>
      </c>
      <c r="D37" s="17">
        <v>1.1077402526612454</v>
      </c>
      <c r="E37" s="17">
        <v>3.9349996155583759E-2</v>
      </c>
      <c r="F37" s="17">
        <v>9.7598260146365204E-3</v>
      </c>
      <c r="G37" s="17">
        <v>0.24082741758007209</v>
      </c>
      <c r="H37" s="17">
        <v>0.24082741758007209</v>
      </c>
      <c r="I37" s="17">
        <v>5.9476030717686623E-3</v>
      </c>
      <c r="J37" s="17">
        <v>1.477897916259288</v>
      </c>
      <c r="K37" s="28">
        <v>780.67718507929885</v>
      </c>
      <c r="L37" s="132">
        <v>69.713618802148204</v>
      </c>
      <c r="M37" s="28" t="s">
        <v>314</v>
      </c>
      <c r="N37" s="17">
        <v>1.0130170820030711</v>
      </c>
      <c r="O37" s="17">
        <v>3.5985167268767368E-2</v>
      </c>
      <c r="P37" s="17">
        <v>8.925260634388291E-3</v>
      </c>
      <c r="Q37" s="17">
        <v>0.22023419952213755</v>
      </c>
      <c r="R37" s="17">
        <v>0.22023419952213755</v>
      </c>
      <c r="S37" s="17">
        <v>5.4390219134865091E-3</v>
      </c>
      <c r="T37" s="17">
        <v>1.3515224629877545</v>
      </c>
      <c r="U37" s="28">
        <v>713.92126639388937</v>
      </c>
      <c r="V37" s="132">
        <v>63.752388274386412</v>
      </c>
      <c r="W37" t="s">
        <v>314</v>
      </c>
    </row>
    <row r="38" spans="1:31" x14ac:dyDescent="0.25">
      <c r="A38" s="4" t="s">
        <v>317</v>
      </c>
      <c r="B38" s="4">
        <v>2104004000</v>
      </c>
      <c r="C38" s="4" t="s">
        <v>263</v>
      </c>
      <c r="D38" s="17">
        <v>7.26118816819111E-2</v>
      </c>
      <c r="E38" s="17">
        <v>1.1376956959896163</v>
      </c>
      <c r="F38" s="17">
        <v>2.9434370749259462</v>
      </c>
      <c r="G38" s="17">
        <v>4.6499824086769066E-2</v>
      </c>
      <c r="H38" s="17">
        <v>4.6499824086769066E-2</v>
      </c>
      <c r="I38" s="17">
        <v>2.494715562255161E-3</v>
      </c>
      <c r="J38" s="17">
        <v>4.5608577458439319E-2</v>
      </c>
      <c r="K38" s="28">
        <v>27336.013000717441</v>
      </c>
      <c r="L38" s="132">
        <v>203.67989251587969</v>
      </c>
      <c r="M38" s="28" t="s">
        <v>315</v>
      </c>
      <c r="N38" s="17">
        <v>6.7189139834902892E-2</v>
      </c>
      <c r="O38" s="17">
        <v>1.0527312257555259</v>
      </c>
      <c r="P38" s="17">
        <v>2.7236176868241686</v>
      </c>
      <c r="Q38" s="17">
        <v>4.3027161815620968E-2</v>
      </c>
      <c r="R38" s="17">
        <v>4.3027161815620968E-2</v>
      </c>
      <c r="S38" s="17">
        <v>2.3084072314080643E-3</v>
      </c>
      <c r="T38" s="17">
        <v>4.2202474547488218E-2</v>
      </c>
      <c r="U38" s="28">
        <v>25294.526976725872</v>
      </c>
      <c r="V38" s="132">
        <v>188.46883544152288</v>
      </c>
      <c r="W38" t="s">
        <v>315</v>
      </c>
    </row>
    <row r="39" spans="1:31" x14ac:dyDescent="0.25">
      <c r="A39" s="4" t="s">
        <v>317</v>
      </c>
      <c r="B39" s="4">
        <v>2103004001</v>
      </c>
      <c r="C39" s="4" t="s">
        <v>143</v>
      </c>
      <c r="D39" s="17">
        <v>2.1775909054814246E-2</v>
      </c>
      <c r="E39" s="17">
        <v>0.54974244458156574</v>
      </c>
      <c r="F39" s="17">
        <v>0.38858239282778767</v>
      </c>
      <c r="G39" s="17">
        <v>1.3945044762978427E-2</v>
      </c>
      <c r="H39" s="17">
        <v>1.3945044762978427E-2</v>
      </c>
      <c r="I39" s="17">
        <v>7.4815165153379281E-4</v>
      </c>
      <c r="J39" s="17">
        <v>1.3677764738354676E-2</v>
      </c>
      <c r="K39" s="28">
        <v>8459.9253971718736</v>
      </c>
      <c r="L39" s="132">
        <v>63.034675010693938</v>
      </c>
      <c r="M39" s="28" t="s">
        <v>315</v>
      </c>
      <c r="N39" s="17">
        <v>2.1401854315028886E-2</v>
      </c>
      <c r="O39" s="17">
        <v>0.54029926742008405</v>
      </c>
      <c r="P39" s="17">
        <v>0.38190753551328954</v>
      </c>
      <c r="Q39" s="17">
        <v>1.3705504357249286E-2</v>
      </c>
      <c r="R39" s="17">
        <v>1.3705504357249286E-2</v>
      </c>
      <c r="S39" s="17">
        <v>7.3530030876642425E-4</v>
      </c>
      <c r="T39" s="17">
        <v>1.3442815523735337E-2</v>
      </c>
      <c r="U39" s="28">
        <v>8314.6053930757389</v>
      </c>
      <c r="V39" s="132">
        <v>61.951899595934975</v>
      </c>
      <c r="W39" t="s">
        <v>315</v>
      </c>
    </row>
    <row r="40" spans="1:31" x14ac:dyDescent="0.25">
      <c r="A40" s="4" t="s">
        <v>317</v>
      </c>
      <c r="B40" s="4">
        <v>2104004000</v>
      </c>
      <c r="C40" s="4" t="s">
        <v>276</v>
      </c>
      <c r="D40" s="17">
        <v>4.8961667280737482E-4</v>
      </c>
      <c r="E40" s="17">
        <v>1.2360589215333444E-2</v>
      </c>
      <c r="F40" s="17">
        <v>1.9847383566732858E-2</v>
      </c>
      <c r="G40" s="17">
        <v>2.7467976034074322E-4</v>
      </c>
      <c r="H40" s="17">
        <v>2.7467976034074322E-4</v>
      </c>
      <c r="I40" s="17">
        <v>1.6821686821764823E-5</v>
      </c>
      <c r="J40" s="17">
        <v>3.0753534310682187E-4</v>
      </c>
      <c r="K40" s="28">
        <v>188.14876883940062</v>
      </c>
      <c r="L40" s="132">
        <v>1.3733988017037158</v>
      </c>
      <c r="M40" s="28" t="s">
        <v>315</v>
      </c>
      <c r="N40" s="17">
        <v>4.6296532773739432E-4</v>
      </c>
      <c r="O40" s="17">
        <v>1.1687764234604625E-2</v>
      </c>
      <c r="P40" s="17">
        <v>1.8767029286433746E-2</v>
      </c>
      <c r="Q40" s="17">
        <v>2.5972809410232508E-4</v>
      </c>
      <c r="R40" s="17">
        <v>2.5972809410232508E-4</v>
      </c>
      <c r="S40" s="17">
        <v>1.5906030544017155E-5</v>
      </c>
      <c r="T40" s="17">
        <v>2.9079524619925738E-4</v>
      </c>
      <c r="U40" s="28">
        <v>177.90725125774006</v>
      </c>
      <c r="V40" s="132">
        <v>1.298640470511625</v>
      </c>
      <c r="W40" t="s">
        <v>315</v>
      </c>
    </row>
    <row r="41" spans="1:31" x14ac:dyDescent="0.25">
      <c r="A41" s="4" t="s">
        <v>317</v>
      </c>
      <c r="B41" s="4">
        <v>2104007000</v>
      </c>
      <c r="C41" s="4" t="s">
        <v>280</v>
      </c>
      <c r="D41" s="17">
        <v>1.5190207976359998E-3</v>
      </c>
      <c r="E41" s="17">
        <v>2.3800284244936621E-2</v>
      </c>
      <c r="F41" s="17">
        <v>6.1575902314885557E-2</v>
      </c>
      <c r="G41" s="17">
        <v>9.7276366123719182E-4</v>
      </c>
      <c r="H41" s="17">
        <v>9.7276366123719182E-4</v>
      </c>
      <c r="I41" s="17">
        <v>5.2188770425375327E-5</v>
      </c>
      <c r="J41" s="17">
        <v>9.5411902439681217E-4</v>
      </c>
      <c r="K41" s="28">
        <v>532.61598795091174</v>
      </c>
      <c r="L41" s="132">
        <v>4.2609279036072953</v>
      </c>
      <c r="M41" s="28" t="s">
        <v>315</v>
      </c>
      <c r="N41" s="17">
        <v>1.2690437861500637E-3</v>
      </c>
      <c r="O41" s="17">
        <v>1.9883600591016865E-2</v>
      </c>
      <c r="P41" s="17">
        <v>5.1442690140187264E-2</v>
      </c>
      <c r="Q41" s="17">
        <v>8.1268122306608459E-4</v>
      </c>
      <c r="R41" s="17">
        <v>8.1268122306608459E-4</v>
      </c>
      <c r="S41" s="17">
        <v>4.360034761749544E-5</v>
      </c>
      <c r="T41" s="17">
        <v>7.971048329573179E-4</v>
      </c>
      <c r="U41" s="28">
        <v>444.96626442849362</v>
      </c>
      <c r="V41" s="132">
        <v>3.5597301154279486</v>
      </c>
      <c r="W41" t="s">
        <v>315</v>
      </c>
    </row>
    <row r="42" spans="1:31" x14ac:dyDescent="0.25">
      <c r="A42" s="4" t="s">
        <v>317</v>
      </c>
      <c r="B42" s="4">
        <v>2104006010</v>
      </c>
      <c r="C42" s="4" t="s">
        <v>144</v>
      </c>
      <c r="D42" s="17">
        <v>6.2640334377998895E-4</v>
      </c>
      <c r="E42" s="17">
        <v>1.0705802602785267E-2</v>
      </c>
      <c r="F42" s="17">
        <v>6.8334910230544217E-5</v>
      </c>
      <c r="G42" s="17">
        <v>8.6557552958689305E-4</v>
      </c>
      <c r="H42" s="17">
        <v>8.6557552958689305E-4</v>
      </c>
      <c r="I42" s="17">
        <v>2.2778303410181406E-3</v>
      </c>
      <c r="J42" s="17">
        <v>4.5556606820362812E-3</v>
      </c>
      <c r="K42" s="28">
        <v>281.18883333333309</v>
      </c>
      <c r="L42" s="132">
        <v>277.03333333333336</v>
      </c>
      <c r="M42" s="28" t="s">
        <v>316</v>
      </c>
      <c r="N42" s="17">
        <v>6.2640334377998895E-4</v>
      </c>
      <c r="O42" s="17">
        <v>1.0705802602785267E-2</v>
      </c>
      <c r="P42" s="17">
        <v>6.8334910230544217E-5</v>
      </c>
      <c r="Q42" s="17">
        <v>8.6557552958689305E-4</v>
      </c>
      <c r="R42" s="17">
        <v>8.6557552958689305E-4</v>
      </c>
      <c r="S42" s="17">
        <v>2.2778303410181406E-3</v>
      </c>
      <c r="T42" s="17">
        <v>4.5556606820362812E-3</v>
      </c>
      <c r="U42" s="28">
        <v>281.18883333333309</v>
      </c>
      <c r="V42" s="132">
        <v>277.03333333333336</v>
      </c>
      <c r="W42" t="s">
        <v>316</v>
      </c>
    </row>
    <row r="43" spans="1:31" x14ac:dyDescent="0.25">
      <c r="A43" s="4" t="s">
        <v>317</v>
      </c>
      <c r="B43" s="4">
        <v>2103006000</v>
      </c>
      <c r="C43" s="4" t="s">
        <v>145</v>
      </c>
      <c r="D43" s="17">
        <v>9.7086916666666735E-3</v>
      </c>
      <c r="E43" s="17">
        <v>0.17652166666666677</v>
      </c>
      <c r="F43" s="17">
        <v>1.0591300000000004E-3</v>
      </c>
      <c r="G43" s="17">
        <v>1.3415646666666668E-2</v>
      </c>
      <c r="H43" s="17">
        <v>1.3415646666666668E-2</v>
      </c>
      <c r="I43" s="17">
        <v>3.5304333333333326E-2</v>
      </c>
      <c r="J43" s="17">
        <v>7.0608666666666653E-2</v>
      </c>
      <c r="K43" s="28">
        <v>3583.3898333333341</v>
      </c>
      <c r="L43" s="132">
        <v>3530.4333333333338</v>
      </c>
      <c r="M43" s="28" t="s">
        <v>316</v>
      </c>
      <c r="N43" s="17">
        <v>9.7086916666666735E-3</v>
      </c>
      <c r="O43" s="17">
        <v>0.17652166666666677</v>
      </c>
      <c r="P43" s="17">
        <v>1.0591300000000004E-3</v>
      </c>
      <c r="Q43" s="17">
        <v>1.3415646666666668E-2</v>
      </c>
      <c r="R43" s="17">
        <v>1.3415646666666668E-2</v>
      </c>
      <c r="S43" s="17">
        <v>3.5304333333333326E-2</v>
      </c>
      <c r="T43" s="17">
        <v>7.0608666666666653E-2</v>
      </c>
      <c r="U43" s="28">
        <v>3583.3898333333341</v>
      </c>
      <c r="V43" s="132">
        <v>3530.4333333333338</v>
      </c>
      <c r="W43" t="s">
        <v>316</v>
      </c>
    </row>
    <row r="44" spans="1:31" x14ac:dyDescent="0.25">
      <c r="A44" s="4" t="s">
        <v>317</v>
      </c>
      <c r="B44" s="4">
        <v>2104002000</v>
      </c>
      <c r="C44" s="4" t="s">
        <v>146</v>
      </c>
      <c r="D44" s="17">
        <v>0.10962696749676502</v>
      </c>
      <c r="E44" s="17">
        <v>5.1743928658473083E-2</v>
      </c>
      <c r="F44" s="17">
        <v>0.10195307977199142</v>
      </c>
      <c r="G44" s="17">
        <v>8.7591947029915226E-2</v>
      </c>
      <c r="H44" s="17">
        <v>8.7591947029915226E-2</v>
      </c>
      <c r="I44" s="17">
        <v>1.3878225950252969E-2</v>
      </c>
      <c r="J44" s="17">
        <v>1.4314541280890085</v>
      </c>
      <c r="K44" s="28">
        <v>333.26598119016563</v>
      </c>
      <c r="L44" s="132">
        <v>21.925393499353003</v>
      </c>
      <c r="M44" s="28" t="s">
        <v>314</v>
      </c>
      <c r="N44" s="17">
        <v>9.6329241174935729E-2</v>
      </c>
      <c r="O44" s="17">
        <v>4.5467401834569654E-2</v>
      </c>
      <c r="P44" s="17">
        <v>8.9586194292690172E-2</v>
      </c>
      <c r="Q44" s="17">
        <v>7.6967063698773625E-2</v>
      </c>
      <c r="R44" s="17">
        <v>7.6967063698773625E-2</v>
      </c>
      <c r="S44" s="17">
        <v>1.2194800286540991E-2</v>
      </c>
      <c r="T44" s="17">
        <v>1.2578190666417228</v>
      </c>
      <c r="U44" s="28">
        <v>292.84089317180462</v>
      </c>
      <c r="V44" s="132">
        <v>19.265848234987143</v>
      </c>
      <c r="W44" t="s">
        <v>314</v>
      </c>
    </row>
    <row r="45" spans="1:31" x14ac:dyDescent="0.25">
      <c r="A45" s="4" t="s">
        <v>317</v>
      </c>
      <c r="B45" s="4">
        <v>2103002000</v>
      </c>
      <c r="C45" s="4" t="s">
        <v>147</v>
      </c>
      <c r="D45" s="17">
        <v>2.8645019898962393E-4</v>
      </c>
      <c r="E45" s="17">
        <v>1.3520449392310249E-4</v>
      </c>
      <c r="F45" s="17">
        <v>2.6639868506035018E-4</v>
      </c>
      <c r="G45" s="17">
        <v>2.288737089927095E-4</v>
      </c>
      <c r="H45" s="17">
        <v>2.288737089927095E-4</v>
      </c>
      <c r="I45" s="17">
        <v>3.6263162941091441E-5</v>
      </c>
      <c r="J45" s="17">
        <v>3.7403234733070136E-3</v>
      </c>
      <c r="K45" s="28">
        <v>13.168671346965224</v>
      </c>
      <c r="L45" s="132">
        <v>0.8708086049284568</v>
      </c>
      <c r="M45" s="28" t="s">
        <v>314</v>
      </c>
      <c r="N45" s="17">
        <v>2.7069889582540766E-4</v>
      </c>
      <c r="O45" s="17">
        <v>1.2776987882959242E-4</v>
      </c>
      <c r="P45" s="17">
        <v>2.5174997311762913E-4</v>
      </c>
      <c r="Q45" s="17">
        <v>2.1628841776450075E-4</v>
      </c>
      <c r="R45" s="17">
        <v>2.1628841776450075E-4</v>
      </c>
      <c r="S45" s="17">
        <v>3.4269126717017481E-5</v>
      </c>
      <c r="T45" s="17">
        <v>3.5346508322402601E-3</v>
      </c>
      <c r="U45" s="28">
        <v>12.440835130353117</v>
      </c>
      <c r="V45" s="132">
        <v>0.8229246433092392</v>
      </c>
      <c r="W45" t="s">
        <v>314</v>
      </c>
    </row>
    <row r="46" spans="1:31" x14ac:dyDescent="0.25">
      <c r="A46" s="4" t="s">
        <v>317</v>
      </c>
      <c r="B46" s="4">
        <v>2103008000</v>
      </c>
      <c r="C46" s="4" t="s">
        <v>148</v>
      </c>
      <c r="D46" s="17">
        <v>8.7528703202673379E-4</v>
      </c>
      <c r="E46" s="17">
        <v>3.4801193375654412E-5</v>
      </c>
      <c r="F46" s="17">
        <v>7.5868125068506339E-6</v>
      </c>
      <c r="G46" s="17">
        <v>2.4615288677671822E-4</v>
      </c>
      <c r="H46" s="17">
        <v>2.4615288677671822E-4</v>
      </c>
      <c r="I46" s="17">
        <v>9.013192162629955E-6</v>
      </c>
      <c r="J46" s="17">
        <v>1.750797799678111E-3</v>
      </c>
      <c r="K46" s="28">
        <v>7.9472342577361532</v>
      </c>
      <c r="L46" s="132">
        <v>0.65625928184257976</v>
      </c>
      <c r="M46" s="28" t="s">
        <v>314</v>
      </c>
      <c r="N46" s="17">
        <v>7.1756118952917862E-4</v>
      </c>
      <c r="O46" s="17">
        <v>2.9198335412332746E-5</v>
      </c>
      <c r="P46" s="17">
        <v>6.1971575068721741E-6</v>
      </c>
      <c r="Q46" s="17">
        <v>2.1186262130783E-4</v>
      </c>
      <c r="R46" s="17">
        <v>2.1186262130783E-4</v>
      </c>
      <c r="S46" s="17">
        <v>8.1663413751081686E-6</v>
      </c>
      <c r="T46" s="17">
        <v>1.5403669758388857E-3</v>
      </c>
      <c r="U46" s="28">
        <v>6.4915618245119404</v>
      </c>
      <c r="V46" s="132">
        <v>0.53605412434444311</v>
      </c>
      <c r="W46" t="s">
        <v>314</v>
      </c>
    </row>
    <row r="47" spans="1:31" x14ac:dyDescent="0.25">
      <c r="A47" s="8" t="s">
        <v>317</v>
      </c>
      <c r="B47" s="8">
        <v>2102012000</v>
      </c>
      <c r="C47" s="8" t="s">
        <v>149</v>
      </c>
      <c r="D47" s="32">
        <v>3.7373908168656338E-4</v>
      </c>
      <c r="E47" s="32">
        <v>1.951102733022278E-2</v>
      </c>
      <c r="F47" s="32">
        <v>1.3815351742974291E-2</v>
      </c>
      <c r="G47" s="32">
        <v>1.9450064441674253E-3</v>
      </c>
      <c r="H47" s="32">
        <v>1.9450064441674253E-3</v>
      </c>
      <c r="I47" s="32">
        <v>1.3597627141015245E-5</v>
      </c>
      <c r="J47" s="32">
        <v>4.6447915084595216E-3</v>
      </c>
      <c r="K47" s="29">
        <v>103.52572562717806</v>
      </c>
      <c r="L47" s="133">
        <v>0.74747816337312667</v>
      </c>
      <c r="M47" s="29" t="s">
        <v>315</v>
      </c>
      <c r="N47" s="32">
        <v>3.7373908168656338E-4</v>
      </c>
      <c r="O47" s="32">
        <v>1.951102733022278E-2</v>
      </c>
      <c r="P47" s="32">
        <v>1.3815351742974291E-2</v>
      </c>
      <c r="Q47" s="32">
        <v>1.9450064441674253E-3</v>
      </c>
      <c r="R47" s="32">
        <v>1.9450064441674253E-3</v>
      </c>
      <c r="S47" s="32">
        <v>1.3597627141015245E-5</v>
      </c>
      <c r="T47" s="32">
        <v>4.6447915084595216E-3</v>
      </c>
      <c r="U47" s="29">
        <v>103.52572562717806</v>
      </c>
      <c r="V47" s="133">
        <v>0.74747816337312667</v>
      </c>
      <c r="W47" s="7" t="s">
        <v>315</v>
      </c>
    </row>
    <row r="48" spans="1:31" x14ac:dyDescent="0.25">
      <c r="A48" s="71" t="s">
        <v>317</v>
      </c>
      <c r="B48" s="71" t="s">
        <v>151</v>
      </c>
      <c r="C48" s="71"/>
      <c r="D48" s="72">
        <v>7.7596183258397637</v>
      </c>
      <c r="E48" s="72">
        <v>2.3672326283249574</v>
      </c>
      <c r="F48" s="72">
        <v>3.6098174817805955</v>
      </c>
      <c r="G48" s="72">
        <v>2.3163190041919997</v>
      </c>
      <c r="H48" s="72">
        <v>2.3163190041919997</v>
      </c>
      <c r="I48" s="72">
        <v>0.13422775455316285</v>
      </c>
      <c r="J48" s="72">
        <v>24.88362955723175</v>
      </c>
      <c r="K48" s="31">
        <v>47268.991726270222</v>
      </c>
      <c r="L48" s="31"/>
      <c r="M48" s="31"/>
      <c r="N48" s="72">
        <v>7.0090145457064441</v>
      </c>
      <c r="O48" s="72">
        <v>2.2167329072061612</v>
      </c>
      <c r="P48" s="72">
        <v>3.3503872540754123</v>
      </c>
      <c r="Q48" s="72">
        <v>2.065954842539599</v>
      </c>
      <c r="R48" s="72">
        <v>2.065954842539599</v>
      </c>
      <c r="S48" s="72">
        <v>0.12391673243113133</v>
      </c>
      <c r="T48" s="72">
        <v>22.006289076198843</v>
      </c>
      <c r="U48" s="31">
        <v>44182.652904864321</v>
      </c>
      <c r="Y48" s="262" t="s">
        <v>318</v>
      </c>
      <c r="Z48" s="262"/>
      <c r="AA48" s="262"/>
      <c r="AB48" s="262"/>
      <c r="AC48" s="262"/>
      <c r="AD48" s="262"/>
      <c r="AE48" s="262"/>
    </row>
    <row r="49" spans="1:31" ht="15.75" thickBot="1" x14ac:dyDescent="0.3">
      <c r="A49" s="4"/>
      <c r="B49" s="4"/>
      <c r="C49" s="4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Y49" s="74" t="s">
        <v>27</v>
      </c>
      <c r="Z49" s="74" t="s">
        <v>28</v>
      </c>
      <c r="AA49" s="134" t="s">
        <v>29</v>
      </c>
      <c r="AB49" s="74" t="s">
        <v>30</v>
      </c>
      <c r="AC49" s="135" t="s">
        <v>31</v>
      </c>
      <c r="AD49" s="74" t="s">
        <v>32</v>
      </c>
      <c r="AE49" s="74" t="s">
        <v>33</v>
      </c>
    </row>
    <row r="50" spans="1:31" ht="15.75" thickTop="1" x14ac:dyDescent="0.25">
      <c r="A50" s="4" t="s">
        <v>319</v>
      </c>
      <c r="B50" s="4">
        <v>2104008100</v>
      </c>
      <c r="C50" s="4" t="s">
        <v>133</v>
      </c>
      <c r="D50" s="17">
        <v>4.6989447930428581</v>
      </c>
      <c r="E50" s="17">
        <v>5.3350464899176546E-2</v>
      </c>
      <c r="F50" s="17">
        <v>8.2077638306425442E-3</v>
      </c>
      <c r="G50" s="17">
        <v>0.70997157135057987</v>
      </c>
      <c r="H50" s="17">
        <v>0.70997157135057987</v>
      </c>
      <c r="I50" s="17">
        <v>3.6934937237891464E-2</v>
      </c>
      <c r="J50" s="17">
        <v>5.1832028590507653</v>
      </c>
      <c r="K50" s="28">
        <v>659.17786036919654</v>
      </c>
      <c r="L50" s="132">
        <v>58.627368771674156</v>
      </c>
      <c r="M50" s="28" t="s">
        <v>314</v>
      </c>
      <c r="N50" s="17">
        <v>4.3348936418720951</v>
      </c>
      <c r="O50" s="17">
        <v>4.9217133051822931E-2</v>
      </c>
      <c r="P50" s="17">
        <v>7.5718666233573718E-3</v>
      </c>
      <c r="Q50" s="17">
        <v>0.65496646292041261</v>
      </c>
      <c r="R50" s="17">
        <v>0.65496646292041261</v>
      </c>
      <c r="S50" s="17">
        <v>3.4073399805108179E-2</v>
      </c>
      <c r="T50" s="17">
        <v>4.7816337726501796</v>
      </c>
      <c r="U50" s="28">
        <v>608.10513755814327</v>
      </c>
      <c r="V50" s="132">
        <v>54.085208343860401</v>
      </c>
      <c r="W50" t="s">
        <v>314</v>
      </c>
      <c r="Y50" s="51">
        <f>N50/$U50*2000</f>
        <v>14.257053177609832</v>
      </c>
      <c r="Z50" s="33">
        <f t="shared" ref="Z50:AE65" si="0">O50/$U50*2000</f>
        <v>0.16187047275888897</v>
      </c>
      <c r="AA50" s="45">
        <f t="shared" si="0"/>
        <v>2.4903149655213681E-2</v>
      </c>
      <c r="AB50" s="33">
        <f t="shared" si="0"/>
        <v>2.1541224451759833</v>
      </c>
      <c r="AC50" s="136">
        <f t="shared" si="0"/>
        <v>2.1541224451759833</v>
      </c>
      <c r="AD50" s="33">
        <f t="shared" si="0"/>
        <v>0.11206417344846159</v>
      </c>
      <c r="AE50" s="51">
        <f t="shared" si="0"/>
        <v>15.726339007267439</v>
      </c>
    </row>
    <row r="51" spans="1:31" x14ac:dyDescent="0.25">
      <c r="A51" s="4" t="s">
        <v>319</v>
      </c>
      <c r="B51" s="4">
        <v>2104008210</v>
      </c>
      <c r="C51" s="4" t="s">
        <v>134</v>
      </c>
      <c r="D51" s="17">
        <v>7.9958443145596206E-2</v>
      </c>
      <c r="E51" s="17">
        <v>4.2242196378805535E-3</v>
      </c>
      <c r="F51" s="17">
        <v>6.0345994826865065E-4</v>
      </c>
      <c r="G51" s="17">
        <v>4.6164686042551792E-2</v>
      </c>
      <c r="H51" s="17">
        <v>4.6164686042551792E-2</v>
      </c>
      <c r="I51" s="17">
        <v>2.5647047801417651E-3</v>
      </c>
      <c r="J51" s="17">
        <v>0.34819639015101134</v>
      </c>
      <c r="K51" s="28">
        <v>48.457042339307094</v>
      </c>
      <c r="L51" s="132">
        <v>4.3104638067189525</v>
      </c>
      <c r="M51" s="28" t="s">
        <v>314</v>
      </c>
      <c r="N51" s="17">
        <v>6.9591020582662338E-2</v>
      </c>
      <c r="O51" s="17">
        <v>3.6765067477632926E-3</v>
      </c>
      <c r="P51" s="17">
        <v>5.2521524968047063E-4</v>
      </c>
      <c r="Q51" s="17">
        <v>4.0178966600556004E-2</v>
      </c>
      <c r="R51" s="17">
        <v>4.0178966600556004E-2</v>
      </c>
      <c r="S51" s="17">
        <v>2.2321648111419991E-3</v>
      </c>
      <c r="T51" s="17">
        <v>0.30304919906563155</v>
      </c>
      <c r="U51" s="28">
        <v>42.173854512120961</v>
      </c>
      <c r="V51" s="132">
        <v>3.7515684859944738</v>
      </c>
      <c r="W51" t="s">
        <v>314</v>
      </c>
      <c r="Y51" s="51">
        <f t="shared" ref="Y51:AE70" si="1">N51/$U51*2000</f>
        <v>3.3001973088640288</v>
      </c>
      <c r="Z51" s="33">
        <f t="shared" si="0"/>
        <v>0.17435004650602415</v>
      </c>
      <c r="AA51" s="45">
        <f t="shared" si="0"/>
        <v>2.4907149500860603E-2</v>
      </c>
      <c r="AB51" s="33">
        <f t="shared" si="0"/>
        <v>1.9053969368158363</v>
      </c>
      <c r="AC51" s="136">
        <f t="shared" si="0"/>
        <v>1.9053969368158363</v>
      </c>
      <c r="AD51" s="33">
        <f t="shared" si="0"/>
        <v>0.1058553853786575</v>
      </c>
      <c r="AE51" s="51">
        <f t="shared" si="0"/>
        <v>14.371425261996567</v>
      </c>
    </row>
    <row r="52" spans="1:31" x14ac:dyDescent="0.25">
      <c r="A52" s="4" t="s">
        <v>319</v>
      </c>
      <c r="B52" s="4">
        <v>2104008220</v>
      </c>
      <c r="C52" s="4" t="s">
        <v>135</v>
      </c>
      <c r="D52" s="17">
        <v>5.107280798392478E-2</v>
      </c>
      <c r="E52" s="17">
        <v>8.5121346639874598E-3</v>
      </c>
      <c r="F52" s="17">
        <v>1.7024269327974926E-3</v>
      </c>
      <c r="G52" s="17">
        <v>5.107280798392478E-2</v>
      </c>
      <c r="H52" s="17">
        <v>5.107280798392478E-2</v>
      </c>
      <c r="I52" s="17">
        <v>3.8304605987943587E-3</v>
      </c>
      <c r="J52" s="17">
        <v>0.59925428034471728</v>
      </c>
      <c r="K52" s="28">
        <v>136.70264977621937</v>
      </c>
      <c r="L52" s="132">
        <v>12.160292822184575</v>
      </c>
      <c r="M52" s="28" t="s">
        <v>314</v>
      </c>
      <c r="N52" s="17">
        <v>4.4450700786555039E-2</v>
      </c>
      <c r="O52" s="17">
        <v>7.4084501310925088E-3</v>
      </c>
      <c r="P52" s="17">
        <v>1.4816900262185015E-3</v>
      </c>
      <c r="Q52" s="17">
        <v>4.4450700786555039E-2</v>
      </c>
      <c r="R52" s="17">
        <v>4.4450700786555039E-2</v>
      </c>
      <c r="S52" s="17">
        <v>3.3338025589916289E-3</v>
      </c>
      <c r="T52" s="17">
        <v>0.52155488922891224</v>
      </c>
      <c r="U52" s="28">
        <v>118.97708536798287</v>
      </c>
      <c r="V52" s="132">
        <v>10.583587608614611</v>
      </c>
      <c r="W52" t="s">
        <v>314</v>
      </c>
      <c r="Y52" s="51">
        <f t="shared" si="1"/>
        <v>0.74721448502581778</v>
      </c>
      <c r="Z52" s="33">
        <f t="shared" si="0"/>
        <v>0.124535747504303</v>
      </c>
      <c r="AA52" s="45">
        <f t="shared" si="0"/>
        <v>2.4907149500860596E-2</v>
      </c>
      <c r="AB52" s="33">
        <f t="shared" si="0"/>
        <v>0.74721448502581778</v>
      </c>
      <c r="AC52" s="136">
        <f t="shared" si="0"/>
        <v>0.74721448502581778</v>
      </c>
      <c r="AD52" s="33">
        <f t="shared" si="0"/>
        <v>5.6041086376936354E-2</v>
      </c>
      <c r="AE52" s="51">
        <f t="shared" si="0"/>
        <v>8.767316624302925</v>
      </c>
    </row>
    <row r="53" spans="1:31" x14ac:dyDescent="0.25">
      <c r="A53" s="4" t="s">
        <v>319</v>
      </c>
      <c r="B53" s="4">
        <v>2104008230</v>
      </c>
      <c r="C53" s="4" t="s">
        <v>136</v>
      </c>
      <c r="D53" s="17">
        <v>3.8436962319362222E-2</v>
      </c>
      <c r="E53" s="17">
        <v>5.1249283092482962E-3</v>
      </c>
      <c r="F53" s="17">
        <v>1.0249856618496592E-3</v>
      </c>
      <c r="G53" s="17">
        <v>3.3312034010113921E-2</v>
      </c>
      <c r="H53" s="17">
        <v>3.3312034010113921E-2</v>
      </c>
      <c r="I53" s="17">
        <v>2.3062177391617324E-3</v>
      </c>
      <c r="J53" s="17">
        <v>0.27418366454478388</v>
      </c>
      <c r="K53" s="28">
        <v>82.305004260730726</v>
      </c>
      <c r="L53" s="132">
        <v>7.3213866313492799</v>
      </c>
      <c r="M53" s="28" t="s">
        <v>314</v>
      </c>
      <c r="N53" s="17">
        <v>3.3453220581484956E-2</v>
      </c>
      <c r="O53" s="17">
        <v>4.460429410864661E-3</v>
      </c>
      <c r="P53" s="17">
        <v>8.9208588217293196E-4</v>
      </c>
      <c r="Q53" s="17">
        <v>2.8992791170620286E-2</v>
      </c>
      <c r="R53" s="17">
        <v>2.8992791170620286E-2</v>
      </c>
      <c r="S53" s="17">
        <v>2.0071932348890965E-3</v>
      </c>
      <c r="T53" s="17">
        <v>0.23863297348125931</v>
      </c>
      <c r="U53" s="28">
        <v>71.632916656489215</v>
      </c>
      <c r="V53" s="132">
        <v>6.3720946495681998</v>
      </c>
      <c r="W53" t="s">
        <v>314</v>
      </c>
      <c r="Y53" s="51">
        <f t="shared" si="1"/>
        <v>0.93401810628227244</v>
      </c>
      <c r="Z53" s="33">
        <f t="shared" si="0"/>
        <v>0.124535747504303</v>
      </c>
      <c r="AA53" s="45">
        <f t="shared" si="0"/>
        <v>2.4907149500860596E-2</v>
      </c>
      <c r="AB53" s="33">
        <f t="shared" si="0"/>
        <v>0.80948235877796926</v>
      </c>
      <c r="AC53" s="136">
        <f t="shared" si="0"/>
        <v>0.80948235877796926</v>
      </c>
      <c r="AD53" s="33">
        <f t="shared" si="0"/>
        <v>5.6041086376936326E-2</v>
      </c>
      <c r="AE53" s="51">
        <f t="shared" si="0"/>
        <v>6.6626624914802095</v>
      </c>
    </row>
    <row r="54" spans="1:31" x14ac:dyDescent="0.25">
      <c r="A54" s="4" t="s">
        <v>319</v>
      </c>
      <c r="B54" s="4">
        <v>2104008310</v>
      </c>
      <c r="C54" s="4" t="s">
        <v>137</v>
      </c>
      <c r="D54" s="17">
        <v>1.6226942899059358</v>
      </c>
      <c r="E54" s="17">
        <v>4.446006715383919E-2</v>
      </c>
      <c r="F54" s="17">
        <v>1.224674935778065E-2</v>
      </c>
      <c r="G54" s="17">
        <v>0.37175097644367505</v>
      </c>
      <c r="H54" s="17">
        <v>0.37175097644367505</v>
      </c>
      <c r="I54" s="17">
        <v>1.2155772703417578E-2</v>
      </c>
      <c r="J54" s="17">
        <v>3.7098661960127051</v>
      </c>
      <c r="K54" s="28">
        <v>983.39791041885042</v>
      </c>
      <c r="L54" s="132">
        <v>87.477503698673274</v>
      </c>
      <c r="M54" s="28" t="s">
        <v>314</v>
      </c>
      <c r="N54" s="17">
        <v>1.4122955285983716</v>
      </c>
      <c r="O54" s="17">
        <v>3.8695368827723092E-2</v>
      </c>
      <c r="P54" s="17">
        <v>1.0658834178100917E-2</v>
      </c>
      <c r="Q54" s="17">
        <v>0.32354969451079735</v>
      </c>
      <c r="R54" s="17">
        <v>0.32354969451079735</v>
      </c>
      <c r="S54" s="17">
        <v>1.0579653569058867E-2</v>
      </c>
      <c r="T54" s="17">
        <v>3.228844442800566</v>
      </c>
      <c r="U54" s="28">
        <v>855.88551012090954</v>
      </c>
      <c r="V54" s="132">
        <v>76.135158726506248</v>
      </c>
      <c r="W54" t="s">
        <v>314</v>
      </c>
      <c r="Y54" s="51">
        <f t="shared" si="1"/>
        <v>3.3001973088640302</v>
      </c>
      <c r="Z54" s="33">
        <f t="shared" si="0"/>
        <v>9.0421834159236228E-2</v>
      </c>
      <c r="AA54" s="45">
        <f t="shared" si="0"/>
        <v>2.4907149500860603E-2</v>
      </c>
      <c r="AB54" s="33">
        <f t="shared" si="0"/>
        <v>0.75605835286331702</v>
      </c>
      <c r="AC54" s="136">
        <f t="shared" si="0"/>
        <v>0.75605835286331702</v>
      </c>
      <c r="AD54" s="33">
        <f t="shared" si="0"/>
        <v>2.4722123330641027E-2</v>
      </c>
      <c r="AE54" s="51">
        <f t="shared" si="0"/>
        <v>7.5450382197600998</v>
      </c>
    </row>
    <row r="55" spans="1:31" x14ac:dyDescent="0.25">
      <c r="A55" s="4" t="s">
        <v>319</v>
      </c>
      <c r="B55" s="4">
        <v>2104008320</v>
      </c>
      <c r="C55" s="4" t="s">
        <v>138</v>
      </c>
      <c r="D55" s="17">
        <v>1.0364828356408724</v>
      </c>
      <c r="E55" s="17">
        <v>0.13896122235491062</v>
      </c>
      <c r="F55" s="17">
        <v>3.4549427854695745E-2</v>
      </c>
      <c r="G55" s="17">
        <v>0.68452135859908148</v>
      </c>
      <c r="H55" s="17">
        <v>0.68452135859908148</v>
      </c>
      <c r="I55" s="17">
        <v>2.1571085258072952E-2</v>
      </c>
      <c r="J55" s="17">
        <v>10.679310074536135</v>
      </c>
      <c r="K55" s="28">
        <v>2774.2737412102733</v>
      </c>
      <c r="L55" s="132">
        <v>246.78366598774667</v>
      </c>
      <c r="M55" s="28" t="s">
        <v>314</v>
      </c>
      <c r="N55" s="17">
        <v>0.90209233085390306</v>
      </c>
      <c r="O55" s="17">
        <v>0.12094349145197325</v>
      </c>
      <c r="P55" s="17">
        <v>3.0069744361796765E-2</v>
      </c>
      <c r="Q55" s="17">
        <v>0.59576622657346345</v>
      </c>
      <c r="R55" s="17">
        <v>0.59576622657346345</v>
      </c>
      <c r="S55" s="17">
        <v>1.8774175423244176E-2</v>
      </c>
      <c r="T55" s="17">
        <v>9.2946292845198979</v>
      </c>
      <c r="U55" s="28">
        <v>2414.54722554725</v>
      </c>
      <c r="V55" s="132">
        <v>214.7856624465058</v>
      </c>
      <c r="W55" t="s">
        <v>314</v>
      </c>
      <c r="Y55" s="51">
        <f t="shared" si="1"/>
        <v>0.74721448502581811</v>
      </c>
      <c r="Z55" s="33">
        <f t="shared" si="0"/>
        <v>0.10017902335669725</v>
      </c>
      <c r="AA55" s="45">
        <f t="shared" si="0"/>
        <v>2.4907149500860599E-2</v>
      </c>
      <c r="AB55" s="33">
        <f t="shared" si="0"/>
        <v>0.49348069921343934</v>
      </c>
      <c r="AC55" s="136">
        <f t="shared" si="0"/>
        <v>0.49348069921343934</v>
      </c>
      <c r="AD55" s="33">
        <f t="shared" si="0"/>
        <v>1.5550886911304098E-2</v>
      </c>
      <c r="AE55" s="51">
        <f t="shared" si="0"/>
        <v>7.6988589713032409</v>
      </c>
    </row>
    <row r="56" spans="1:31" x14ac:dyDescent="0.25">
      <c r="A56" s="4" t="s">
        <v>319</v>
      </c>
      <c r="B56" s="4">
        <v>2104008330</v>
      </c>
      <c r="C56" s="4" t="s">
        <v>139</v>
      </c>
      <c r="D56" s="17">
        <v>0.78004819532799807</v>
      </c>
      <c r="E56" s="17">
        <v>8.366483032128369E-2</v>
      </c>
      <c r="F56" s="17">
        <v>2.080128520874662E-2</v>
      </c>
      <c r="G56" s="17">
        <v>0.45729712534820277</v>
      </c>
      <c r="H56" s="17">
        <v>0.45729712534820277</v>
      </c>
      <c r="I56" s="17">
        <v>1.2987372717212158E-2</v>
      </c>
      <c r="J56" s="17">
        <v>6.4297265826610523</v>
      </c>
      <c r="K56" s="28">
        <v>1670.3159190003214</v>
      </c>
      <c r="L56" s="132">
        <v>148.58183593258795</v>
      </c>
      <c r="M56" s="28" t="s">
        <v>314</v>
      </c>
      <c r="N56" s="17">
        <v>0.67890704071980312</v>
      </c>
      <c r="O56" s="17">
        <v>7.2816837095384057E-2</v>
      </c>
      <c r="P56" s="17">
        <v>1.8104187752528086E-2</v>
      </c>
      <c r="Q56" s="17">
        <v>0.3980039181672313</v>
      </c>
      <c r="R56" s="17">
        <v>0.3980039181672313</v>
      </c>
      <c r="S56" s="17">
        <v>1.1303428212483859E-2</v>
      </c>
      <c r="T56" s="17">
        <v>5.5960473635047299</v>
      </c>
      <c r="U56" s="28">
        <v>1453.7342181129591</v>
      </c>
      <c r="V56" s="132">
        <v>129.31669497074205</v>
      </c>
      <c r="W56" t="s">
        <v>314</v>
      </c>
      <c r="Y56" s="51">
        <f t="shared" si="1"/>
        <v>0.93401810628227255</v>
      </c>
      <c r="Z56" s="33">
        <f t="shared" si="0"/>
        <v>0.10017902335669723</v>
      </c>
      <c r="AA56" s="45">
        <f t="shared" si="0"/>
        <v>2.4907149500860606E-2</v>
      </c>
      <c r="AB56" s="33">
        <f t="shared" si="0"/>
        <v>0.54756077583956997</v>
      </c>
      <c r="AC56" s="136">
        <f t="shared" si="0"/>
        <v>0.54756077583956997</v>
      </c>
      <c r="AD56" s="33">
        <f t="shared" si="0"/>
        <v>1.5550886911304102E-2</v>
      </c>
      <c r="AE56" s="51">
        <f t="shared" si="0"/>
        <v>7.6988589713032427</v>
      </c>
    </row>
    <row r="57" spans="1:31" x14ac:dyDescent="0.25">
      <c r="A57" s="4" t="s">
        <v>319</v>
      </c>
      <c r="B57" s="4">
        <v>2104008410</v>
      </c>
      <c r="C57" s="4" t="s">
        <v>140</v>
      </c>
      <c r="D57" s="17">
        <v>9.7545683363115827E-3</v>
      </c>
      <c r="E57" s="17">
        <v>1.7034514975081017E-2</v>
      </c>
      <c r="F57" s="17">
        <v>1.3613997982082732E-3</v>
      </c>
      <c r="G57" s="17">
        <v>1.259294813342653E-2</v>
      </c>
      <c r="H57" s="17">
        <v>1.259294813342653E-2</v>
      </c>
      <c r="I57" s="17">
        <v>3.0580442967253335E-4</v>
      </c>
      <c r="J57" s="17">
        <v>4.2254446236889273E-2</v>
      </c>
      <c r="K57" s="28">
        <v>130.5465071958364</v>
      </c>
      <c r="L57" s="132">
        <v>11.612677274460221</v>
      </c>
      <c r="M57" s="28" t="s">
        <v>314</v>
      </c>
      <c r="N57" s="17">
        <v>8.4897896852639387E-3</v>
      </c>
      <c r="O57" s="17">
        <v>1.4825817457300291E-2</v>
      </c>
      <c r="P57" s="17">
        <v>1.1848805160679552E-3</v>
      </c>
      <c r="Q57" s="17">
        <v>1.0960144773628588E-2</v>
      </c>
      <c r="R57" s="17">
        <v>1.0960144773628588E-2</v>
      </c>
      <c r="S57" s="17">
        <v>2.661537859217645E-4</v>
      </c>
      <c r="T57" s="17">
        <v>3.6775729017459166E-2</v>
      </c>
      <c r="U57" s="28">
        <v>113.61917970541748</v>
      </c>
      <c r="V57" s="132">
        <v>10.106975966943715</v>
      </c>
      <c r="W57" t="s">
        <v>314</v>
      </c>
      <c r="Y57" s="51">
        <f t="shared" si="1"/>
        <v>0.14944289700516361</v>
      </c>
      <c r="Z57" s="33">
        <f t="shared" si="0"/>
        <v>0.26097385134691975</v>
      </c>
      <c r="AA57" s="45">
        <f t="shared" si="0"/>
        <v>2.0857051056696881E-2</v>
      </c>
      <c r="AB57" s="33">
        <f t="shared" si="0"/>
        <v>0.19292772227444618</v>
      </c>
      <c r="AC57" s="136">
        <f t="shared" si="0"/>
        <v>0.19292772227444618</v>
      </c>
      <c r="AD57" s="33">
        <f t="shared" si="0"/>
        <v>4.6850150936105376E-3</v>
      </c>
      <c r="AE57" s="51">
        <f t="shared" si="0"/>
        <v>0.64735072217222955</v>
      </c>
    </row>
    <row r="58" spans="1:31" x14ac:dyDescent="0.25">
      <c r="A58" s="4" t="s">
        <v>319</v>
      </c>
      <c r="B58" s="4">
        <v>2104008420</v>
      </c>
      <c r="C58" s="4" t="s">
        <v>141</v>
      </c>
      <c r="D58" s="17">
        <v>4.4086989720084152E-2</v>
      </c>
      <c r="E58" s="17">
        <v>7.698961765405872E-2</v>
      </c>
      <c r="F58" s="17">
        <v>6.1530163959287697E-3</v>
      </c>
      <c r="G58" s="17">
        <v>5.6915401662341117E-2</v>
      </c>
      <c r="H58" s="17">
        <v>5.6915401662341117E-2</v>
      </c>
      <c r="I58" s="17">
        <v>1.3821213079354998E-3</v>
      </c>
      <c r="J58" s="17">
        <v>0.1909742463886393</v>
      </c>
      <c r="K58" s="28">
        <v>590.02124156649018</v>
      </c>
      <c r="L58" s="132">
        <v>52.484945101668018</v>
      </c>
      <c r="M58" s="28" t="s">
        <v>314</v>
      </c>
      <c r="N58" s="17">
        <v>3.8370664664535495E-2</v>
      </c>
      <c r="O58" s="17">
        <v>6.7007133406273567E-2</v>
      </c>
      <c r="P58" s="17">
        <v>5.3552154570448412E-3</v>
      </c>
      <c r="Q58" s="17">
        <v>4.9535742977664762E-2</v>
      </c>
      <c r="R58" s="17">
        <v>4.9535742977664762E-2</v>
      </c>
      <c r="S58" s="17">
        <v>1.2029152720386971E-3</v>
      </c>
      <c r="T58" s="17">
        <v>0.16621249974802929</v>
      </c>
      <c r="U58" s="28">
        <v>513.51607113464513</v>
      </c>
      <c r="V58" s="132">
        <v>45.679740014438309</v>
      </c>
      <c r="W58" t="s">
        <v>314</v>
      </c>
      <c r="Y58" s="51">
        <f t="shared" si="1"/>
        <v>0.14944289700516353</v>
      </c>
      <c r="Z58" s="33">
        <f t="shared" si="0"/>
        <v>0.26097385134691975</v>
      </c>
      <c r="AA58" s="45">
        <f t="shared" si="0"/>
        <v>2.0857051056696885E-2</v>
      </c>
      <c r="AB58" s="33">
        <f t="shared" si="0"/>
        <v>0.1929277222744461</v>
      </c>
      <c r="AC58" s="136">
        <f t="shared" si="0"/>
        <v>0.1929277222744461</v>
      </c>
      <c r="AD58" s="33">
        <f t="shared" si="0"/>
        <v>4.6850150936105358E-3</v>
      </c>
      <c r="AE58" s="51">
        <f t="shared" si="0"/>
        <v>0.64735072217222966</v>
      </c>
    </row>
    <row r="59" spans="1:31" x14ac:dyDescent="0.25">
      <c r="A59" s="4" t="s">
        <v>319</v>
      </c>
      <c r="B59" s="4">
        <v>2104008610</v>
      </c>
      <c r="C59" s="4" t="s">
        <v>142</v>
      </c>
      <c r="D59" s="17">
        <v>1.1572708836877983</v>
      </c>
      <c r="E59" s="17">
        <v>4.1109461098557634E-2</v>
      </c>
      <c r="F59" s="17">
        <v>1.0196219239540069E-2</v>
      </c>
      <c r="G59" s="17">
        <v>0.25159558632051404</v>
      </c>
      <c r="H59" s="17">
        <v>0.25159558632051404</v>
      </c>
      <c r="I59" s="17">
        <v>6.2135395424642477E-3</v>
      </c>
      <c r="J59" s="17">
        <v>1.5439794874663382</v>
      </c>
      <c r="K59" s="28">
        <v>818.45782383876622</v>
      </c>
      <c r="L59" s="132">
        <v>72.830739013424761</v>
      </c>
      <c r="M59" s="28" t="s">
        <v>314</v>
      </c>
      <c r="N59" s="17">
        <v>1.0581391717957001</v>
      </c>
      <c r="O59" s="17">
        <v>3.7588028639568193E-2</v>
      </c>
      <c r="P59" s="17">
        <v>9.3228120863057297E-3</v>
      </c>
      <c r="Q59" s="17">
        <v>0.23004393274657259</v>
      </c>
      <c r="R59" s="17">
        <v>0.23004393274657259</v>
      </c>
      <c r="S59" s="17">
        <v>5.6812883466241769E-3</v>
      </c>
      <c r="T59" s="17">
        <v>1.4117223540015404</v>
      </c>
      <c r="U59" s="28">
        <v>748.34853222595268</v>
      </c>
      <c r="V59" s="132">
        <v>66.5920649583406</v>
      </c>
      <c r="W59" t="s">
        <v>314</v>
      </c>
      <c r="Y59" s="51">
        <f t="shared" si="1"/>
        <v>2.8279314416459918</v>
      </c>
      <c r="Z59" s="33">
        <f t="shared" si="0"/>
        <v>0.1004559427083076</v>
      </c>
      <c r="AA59" s="45">
        <f t="shared" si="0"/>
        <v>2.4915695521110063E-2</v>
      </c>
      <c r="AB59" s="33">
        <f t="shared" si="0"/>
        <v>0.61480425988759546</v>
      </c>
      <c r="AC59" s="136">
        <f t="shared" si="0"/>
        <v>0.61480425988759546</v>
      </c>
      <c r="AD59" s="33">
        <f t="shared" si="0"/>
        <v>1.518353575098293E-2</v>
      </c>
      <c r="AE59" s="51">
        <f t="shared" si="0"/>
        <v>3.7729007092521214</v>
      </c>
    </row>
    <row r="60" spans="1:31" x14ac:dyDescent="0.25">
      <c r="A60" s="4" t="s">
        <v>319</v>
      </c>
      <c r="B60" s="4">
        <v>2104004000</v>
      </c>
      <c r="C60" s="4" t="s">
        <v>263</v>
      </c>
      <c r="D60" s="17">
        <v>8.7241671336638932E-2</v>
      </c>
      <c r="E60" s="17">
        <v>1.3669178058962328</v>
      </c>
      <c r="F60" s="17">
        <v>3.5364786580752967</v>
      </c>
      <c r="G60" s="17">
        <v>5.5868575172870548E-2</v>
      </c>
      <c r="H60" s="17">
        <v>5.5868575172870548E-2</v>
      </c>
      <c r="I60" s="17">
        <v>2.9973490580245056E-3</v>
      </c>
      <c r="J60" s="17">
        <v>5.4797760815390527E-2</v>
      </c>
      <c r="K60" s="28">
        <v>32843.653223447393</v>
      </c>
      <c r="L60" s="132">
        <v>244.71717064975857</v>
      </c>
      <c r="M60" s="28" t="s">
        <v>315</v>
      </c>
      <c r="N60" s="17">
        <v>8.0624434942304604E-2</v>
      </c>
      <c r="O60" s="17">
        <v>1.2632377856185664</v>
      </c>
      <c r="P60" s="17">
        <v>3.2682385507336758</v>
      </c>
      <c r="Q60" s="17">
        <v>5.1630972164246593E-2</v>
      </c>
      <c r="R60" s="17">
        <v>5.1630972164246593E-2</v>
      </c>
      <c r="S60" s="17">
        <v>2.7700016566118298E-3</v>
      </c>
      <c r="T60" s="17">
        <v>5.0641378531098541E-2</v>
      </c>
      <c r="U60" s="28">
        <v>30352.478832777291</v>
      </c>
      <c r="V60" s="132">
        <v>226.15549773437479</v>
      </c>
      <c r="W60" t="s">
        <v>315</v>
      </c>
      <c r="Y60" s="51">
        <f t="shared" si="1"/>
        <v>5.3125436895281979E-3</v>
      </c>
      <c r="Z60" s="33">
        <f t="shared" si="0"/>
        <v>8.3237866177467548E-2</v>
      </c>
      <c r="AA60" s="45">
        <f t="shared" si="0"/>
        <v>0.21535233209383497</v>
      </c>
      <c r="AB60" s="33">
        <f t="shared" si="0"/>
        <v>3.4020926230572579E-3</v>
      </c>
      <c r="AC60" s="136">
        <f t="shared" si="0"/>
        <v>3.4020926230572579E-3</v>
      </c>
      <c r="AD60" s="33">
        <f t="shared" si="0"/>
        <v>1.8252226922702187E-4</v>
      </c>
      <c r="AE60" s="51">
        <f t="shared" si="0"/>
        <v>3.3368858477819943E-3</v>
      </c>
    </row>
    <row r="61" spans="1:31" x14ac:dyDescent="0.25">
      <c r="A61" s="4" t="s">
        <v>319</v>
      </c>
      <c r="B61" s="4">
        <v>2103004001</v>
      </c>
      <c r="C61" s="4" t="s">
        <v>143</v>
      </c>
      <c r="D61" s="17">
        <v>2.7135537166095666E-2</v>
      </c>
      <c r="E61" s="17">
        <v>0.68504862410900735</v>
      </c>
      <c r="F61" s="17">
        <v>0.48422281412576235</v>
      </c>
      <c r="G61" s="17">
        <v>1.7377289714801156E-2</v>
      </c>
      <c r="H61" s="17">
        <v>1.7377289714801156E-2</v>
      </c>
      <c r="I61" s="17">
        <v>9.3229159319908265E-4</v>
      </c>
      <c r="J61" s="17">
        <v>1.7044224995267473E-2</v>
      </c>
      <c r="K61" s="28">
        <v>10542.137159899728</v>
      </c>
      <c r="L61" s="132">
        <v>78.54917846138288</v>
      </c>
      <c r="M61" s="28" t="s">
        <v>315</v>
      </c>
      <c r="N61" s="17">
        <v>2.6669417645296341E-2</v>
      </c>
      <c r="O61" s="17">
        <v>0.67328123087704628</v>
      </c>
      <c r="P61" s="17">
        <v>0.47590509759415767</v>
      </c>
      <c r="Q61" s="17">
        <v>1.7078792069257043E-2</v>
      </c>
      <c r="R61" s="17">
        <v>1.7078792069257043E-2</v>
      </c>
      <c r="S61" s="17">
        <v>9.1627719451564042E-4</v>
      </c>
      <c r="T61" s="17">
        <v>1.6751448554596291E-2</v>
      </c>
      <c r="U61" s="28">
        <v>10361.050052941217</v>
      </c>
      <c r="V61" s="132">
        <v>77.19990333189152</v>
      </c>
      <c r="W61" t="s">
        <v>315</v>
      </c>
      <c r="Y61" s="51">
        <f t="shared" si="1"/>
        <v>5.1480144404332127E-3</v>
      </c>
      <c r="Z61" s="33">
        <f t="shared" si="0"/>
        <v>0.12996389891696744</v>
      </c>
      <c r="AA61" s="45">
        <f t="shared" si="0"/>
        <v>9.1864259927797814E-2</v>
      </c>
      <c r="AB61" s="33">
        <f t="shared" si="0"/>
        <v>3.2967299611507705E-3</v>
      </c>
      <c r="AC61" s="136">
        <f t="shared" si="0"/>
        <v>3.2967299611507705E-3</v>
      </c>
      <c r="AD61" s="33">
        <f t="shared" si="0"/>
        <v>1.7686956241573886E-4</v>
      </c>
      <c r="AE61" s="51">
        <f t="shared" si="0"/>
        <v>3.2335426368953826E-3</v>
      </c>
    </row>
    <row r="62" spans="1:31" x14ac:dyDescent="0.25">
      <c r="A62" s="4" t="s">
        <v>319</v>
      </c>
      <c r="B62" s="4">
        <v>2104004000</v>
      </c>
      <c r="C62" s="4" t="s">
        <v>276</v>
      </c>
      <c r="D62" s="17">
        <v>5.9138619234472658E-4</v>
      </c>
      <c r="E62" s="17">
        <v>1.4929805697342327E-2</v>
      </c>
      <c r="F62" s="17">
        <v>2.3972771450438753E-2</v>
      </c>
      <c r="G62" s="17">
        <v>3.3177345994094064E-4</v>
      </c>
      <c r="H62" s="17">
        <v>3.3177345994094064E-4</v>
      </c>
      <c r="I62" s="17">
        <v>2.0318166988265041E-5</v>
      </c>
      <c r="J62" s="17">
        <v>3.7145825637135673E-4</v>
      </c>
      <c r="K62" s="28">
        <v>227.25652572304577</v>
      </c>
      <c r="L62" s="132">
        <v>1.6588672997047029</v>
      </c>
      <c r="M62" s="28" t="s">
        <v>315</v>
      </c>
      <c r="N62" s="17">
        <v>5.5833833918715343E-4</v>
      </c>
      <c r="O62" s="17">
        <v>1.4095498043995455E-2</v>
      </c>
      <c r="P62" s="17">
        <v>2.2633124632624058E-2</v>
      </c>
      <c r="Q62" s="17">
        <v>3.1323328986656565E-4</v>
      </c>
      <c r="R62" s="17">
        <v>3.1323328986656565E-4</v>
      </c>
      <c r="S62" s="17">
        <v>1.9182746838536845E-5</v>
      </c>
      <c r="T62" s="17">
        <v>3.50700419834698E-4</v>
      </c>
      <c r="U62" s="28">
        <v>214.55697272635089</v>
      </c>
      <c r="V62" s="132">
        <v>1.5661664493328289</v>
      </c>
      <c r="W62" t="s">
        <v>315</v>
      </c>
      <c r="Y62" s="51">
        <f t="shared" si="1"/>
        <v>5.2045695098361247E-3</v>
      </c>
      <c r="Z62" s="33">
        <f t="shared" si="0"/>
        <v>0.13139165662980395</v>
      </c>
      <c r="AA62" s="45">
        <f t="shared" si="0"/>
        <v>0.21097542853096343</v>
      </c>
      <c r="AB62" s="33">
        <f t="shared" si="0"/>
        <v>2.9198145917734212E-3</v>
      </c>
      <c r="AC62" s="136">
        <f t="shared" si="0"/>
        <v>2.9198145917734212E-3</v>
      </c>
      <c r="AD62" s="33">
        <f t="shared" si="0"/>
        <v>1.7881261647928638E-4</v>
      </c>
      <c r="AE62" s="51">
        <f t="shared" si="0"/>
        <v>3.2690656973612918E-3</v>
      </c>
    </row>
    <row r="63" spans="1:31" x14ac:dyDescent="0.25">
      <c r="A63" s="4" t="s">
        <v>319</v>
      </c>
      <c r="B63" s="4">
        <v>2104007000</v>
      </c>
      <c r="C63" s="4" t="s">
        <v>280</v>
      </c>
      <c r="D63" s="17">
        <v>2.2763582610392679E-3</v>
      </c>
      <c r="E63" s="17">
        <v>3.5666380434263685E-2</v>
      </c>
      <c r="F63" s="17">
        <v>9.2275770110308325E-2</v>
      </c>
      <c r="G63" s="17">
        <v>1.4577539687028753E-3</v>
      </c>
      <c r="H63" s="17">
        <v>1.4577539687028753E-3</v>
      </c>
      <c r="I63" s="17">
        <v>7.8208500420909294E-5</v>
      </c>
      <c r="J63" s="17">
        <v>1.4298136843027367E-3</v>
      </c>
      <c r="K63" s="28">
        <v>798.16208311334822</v>
      </c>
      <c r="L63" s="132">
        <v>6.3852966649067842</v>
      </c>
      <c r="M63" s="28" t="s">
        <v>315</v>
      </c>
      <c r="N63" s="17">
        <v>1.8878783201476904E-3</v>
      </c>
      <c r="O63" s="17">
        <v>2.9579608593440384E-2</v>
      </c>
      <c r="P63" s="17">
        <v>7.6528123383640914E-2</v>
      </c>
      <c r="Q63" s="17">
        <v>1.2089758280697707E-3</v>
      </c>
      <c r="R63" s="17">
        <v>1.2089758280697707E-3</v>
      </c>
      <c r="S63" s="17">
        <v>6.4861553175943204E-5</v>
      </c>
      <c r="T63" s="17">
        <v>1.1858037913650998E-3</v>
      </c>
      <c r="U63" s="28">
        <v>661.94892010788601</v>
      </c>
      <c r="V63" s="132">
        <v>5.2955913608630896</v>
      </c>
      <c r="W63" t="s">
        <v>315</v>
      </c>
      <c r="Y63" s="51">
        <f t="shared" si="1"/>
        <v>5.7039999999999981E-3</v>
      </c>
      <c r="Z63" s="33">
        <f t="shared" si="0"/>
        <v>8.9371272298833668E-2</v>
      </c>
      <c r="AA63" s="45">
        <f t="shared" si="0"/>
        <v>0.23122063065279472</v>
      </c>
      <c r="AB63" s="33">
        <f t="shared" si="0"/>
        <v>3.6527767969550548E-3</v>
      </c>
      <c r="AC63" s="136">
        <f t="shared" si="0"/>
        <v>3.6527767969550548E-3</v>
      </c>
      <c r="AD63" s="33">
        <f t="shared" si="0"/>
        <v>1.9597147515663872E-4</v>
      </c>
      <c r="AE63" s="51">
        <f t="shared" si="0"/>
        <v>3.5827652416800821E-3</v>
      </c>
    </row>
    <row r="64" spans="1:31" x14ac:dyDescent="0.25">
      <c r="A64" s="4" t="s">
        <v>319</v>
      </c>
      <c r="B64" s="4">
        <v>2104006010</v>
      </c>
      <c r="C64" s="4" t="s">
        <v>144</v>
      </c>
      <c r="D64" s="17">
        <v>6.5293806689556443E-4</v>
      </c>
      <c r="E64" s="17">
        <v>1.1159305143306025E-2</v>
      </c>
      <c r="F64" s="17">
        <v>7.1229607297698002E-5</v>
      </c>
      <c r="G64" s="17">
        <v>9.0224169243750753E-4</v>
      </c>
      <c r="H64" s="17">
        <v>9.0224169243750753E-4</v>
      </c>
      <c r="I64" s="17">
        <v>2.3743202432565985E-3</v>
      </c>
      <c r="J64" s="17">
        <v>4.7486404865131971E-3</v>
      </c>
      <c r="K64" s="28">
        <v>293.10011686938094</v>
      </c>
      <c r="L64" s="132">
        <v>288.76858804865157</v>
      </c>
      <c r="M64" s="28" t="s">
        <v>316</v>
      </c>
      <c r="N64" s="17">
        <v>6.5293806689556443E-4</v>
      </c>
      <c r="O64" s="17">
        <v>1.1159305143306025E-2</v>
      </c>
      <c r="P64" s="17">
        <v>7.1229607297698002E-5</v>
      </c>
      <c r="Q64" s="17">
        <v>9.0224169243750753E-4</v>
      </c>
      <c r="R64" s="17">
        <v>9.0224169243750753E-4</v>
      </c>
      <c r="S64" s="17">
        <v>2.3743202432565985E-3</v>
      </c>
      <c r="T64" s="17">
        <v>4.7486404865131971E-3</v>
      </c>
      <c r="U64" s="28">
        <v>293.10011686938094</v>
      </c>
      <c r="V64" s="132">
        <v>288.76858804865157</v>
      </c>
      <c r="W64" t="s">
        <v>316</v>
      </c>
      <c r="Y64" s="51">
        <f t="shared" si="1"/>
        <v>4.455392743405449E-3</v>
      </c>
      <c r="Z64" s="33">
        <f t="shared" si="0"/>
        <v>7.6146712341838688E-2</v>
      </c>
      <c r="AA64" s="45">
        <f t="shared" si="0"/>
        <v>4.860428447351403E-4</v>
      </c>
      <c r="AB64" s="33">
        <f t="shared" si="0"/>
        <v>6.1565426999784408E-3</v>
      </c>
      <c r="AC64" s="136">
        <f t="shared" si="0"/>
        <v>6.1565426999784408E-3</v>
      </c>
      <c r="AD64" s="33">
        <f t="shared" si="0"/>
        <v>1.6201428157838E-2</v>
      </c>
      <c r="AE64" s="51">
        <f t="shared" si="0"/>
        <v>3.2402856315676E-2</v>
      </c>
    </row>
    <row r="65" spans="1:31" x14ac:dyDescent="0.25">
      <c r="A65" s="4" t="s">
        <v>319</v>
      </c>
      <c r="B65" s="4">
        <v>2103006000</v>
      </c>
      <c r="C65" s="4" t="s">
        <v>145</v>
      </c>
      <c r="D65" s="17">
        <v>6.982865441565316E-3</v>
      </c>
      <c r="E65" s="17">
        <v>0.12696118984664209</v>
      </c>
      <c r="F65" s="17">
        <v>7.6176713907985234E-4</v>
      </c>
      <c r="G65" s="17">
        <v>9.649050428344793E-3</v>
      </c>
      <c r="H65" s="17">
        <v>9.649050428344793E-3</v>
      </c>
      <c r="I65" s="17">
        <v>2.5392237969328397E-2</v>
      </c>
      <c r="J65" s="17">
        <v>5.0784475938656794E-2</v>
      </c>
      <c r="K65" s="28">
        <v>2577.3121538868322</v>
      </c>
      <c r="L65" s="132">
        <v>2539.2237969328407</v>
      </c>
      <c r="M65" s="28" t="s">
        <v>316</v>
      </c>
      <c r="N65" s="17">
        <v>6.982865441565316E-3</v>
      </c>
      <c r="O65" s="17">
        <v>0.12696118984664209</v>
      </c>
      <c r="P65" s="17">
        <v>7.6176713907985234E-4</v>
      </c>
      <c r="Q65" s="17">
        <v>9.649050428344793E-3</v>
      </c>
      <c r="R65" s="17">
        <v>9.649050428344793E-3</v>
      </c>
      <c r="S65" s="17">
        <v>2.5392237969328397E-2</v>
      </c>
      <c r="T65" s="17">
        <v>5.0784475938656794E-2</v>
      </c>
      <c r="U65" s="28">
        <v>2577.3121538868322</v>
      </c>
      <c r="V65" s="132">
        <v>2539.2237969328407</v>
      </c>
      <c r="W65" t="s">
        <v>316</v>
      </c>
      <c r="Y65" s="51">
        <f t="shared" si="1"/>
        <v>5.4187192118226651E-3</v>
      </c>
      <c r="Z65" s="33">
        <f t="shared" si="0"/>
        <v>9.8522167487684817E-2</v>
      </c>
      <c r="AA65" s="45">
        <f t="shared" si="0"/>
        <v>5.9113300492610865E-4</v>
      </c>
      <c r="AB65" s="33">
        <f t="shared" si="0"/>
        <v>7.4876847290640414E-3</v>
      </c>
      <c r="AC65" s="136">
        <f t="shared" si="0"/>
        <v>7.4876847290640414E-3</v>
      </c>
      <c r="AD65" s="33">
        <f t="shared" si="0"/>
        <v>1.9704433497536946E-2</v>
      </c>
      <c r="AE65" s="51">
        <f t="shared" si="0"/>
        <v>3.9408866995073892E-2</v>
      </c>
    </row>
    <row r="66" spans="1:31" x14ac:dyDescent="0.25">
      <c r="A66" s="4" t="s">
        <v>319</v>
      </c>
      <c r="B66" s="4">
        <v>2104002000</v>
      </c>
      <c r="C66" s="4" t="s">
        <v>146</v>
      </c>
      <c r="D66" s="17">
        <v>0.13356001913848814</v>
      </c>
      <c r="E66" s="17">
        <v>6.3040329033366413E-2</v>
      </c>
      <c r="F66" s="17">
        <v>0.12421081779879396</v>
      </c>
      <c r="G66" s="17">
        <v>0.10671445529165198</v>
      </c>
      <c r="H66" s="17">
        <v>0.10671445529165198</v>
      </c>
      <c r="I66" s="17">
        <v>1.6908030622836908E-2</v>
      </c>
      <c r="J66" s="17">
        <v>1.743959949900808</v>
      </c>
      <c r="K66" s="28">
        <v>406.02245818100386</v>
      </c>
      <c r="L66" s="132">
        <v>26.712003827697625</v>
      </c>
      <c r="M66" s="28" t="s">
        <v>314</v>
      </c>
      <c r="N66" s="17">
        <v>0.11707525897354706</v>
      </c>
      <c r="O66" s="17">
        <v>5.5259522235514204E-2</v>
      </c>
      <c r="P66" s="17">
        <v>0.10887999084539873</v>
      </c>
      <c r="Q66" s="17">
        <v>9.3543131919864131E-2</v>
      </c>
      <c r="R66" s="17">
        <v>9.3543131919864131E-2</v>
      </c>
      <c r="S66" s="17">
        <v>1.482114240975619E-2</v>
      </c>
      <c r="T66" s="17">
        <v>1.5287101940470909</v>
      </c>
      <c r="U66" s="28">
        <v>355.90878727958295</v>
      </c>
      <c r="V66" s="132">
        <v>23.415051794709413</v>
      </c>
      <c r="W66" t="s">
        <v>314</v>
      </c>
      <c r="Y66" s="51">
        <f t="shared" si="1"/>
        <v>0.65789473684210542</v>
      </c>
      <c r="Z66" s="33">
        <f t="shared" si="1"/>
        <v>0.31052631578947371</v>
      </c>
      <c r="AA66" s="45">
        <f t="shared" si="1"/>
        <v>0.61184210526315796</v>
      </c>
      <c r="AB66" s="33">
        <f t="shared" si="1"/>
        <v>0.52565789473684243</v>
      </c>
      <c r="AC66" s="136">
        <f t="shared" si="1"/>
        <v>0.52565789473684243</v>
      </c>
      <c r="AD66" s="33">
        <f t="shared" si="1"/>
        <v>8.3286184210526332E-2</v>
      </c>
      <c r="AE66" s="51">
        <f t="shared" si="1"/>
        <v>8.5904605263157929</v>
      </c>
    </row>
    <row r="67" spans="1:31" x14ac:dyDescent="0.25">
      <c r="A67" s="4" t="s">
        <v>319</v>
      </c>
      <c r="B67" s="4">
        <v>2103002000</v>
      </c>
      <c r="C67" s="4" t="s">
        <v>147</v>
      </c>
      <c r="D67" s="17">
        <v>3.5695318167210945E-4</v>
      </c>
      <c r="E67" s="17">
        <v>1.684819017492357E-4</v>
      </c>
      <c r="F67" s="17">
        <v>3.3196645895506162E-4</v>
      </c>
      <c r="G67" s="17">
        <v>2.8520559215601543E-4</v>
      </c>
      <c r="H67" s="17">
        <v>2.8520559215601543E-4</v>
      </c>
      <c r="I67" s="17">
        <v>4.5188488033780741E-5</v>
      </c>
      <c r="J67" s="17">
        <v>4.6609161696835677E-3</v>
      </c>
      <c r="K67" s="28">
        <v>16.409830233226156</v>
      </c>
      <c r="L67" s="132">
        <v>1.0851376722832122</v>
      </c>
      <c r="M67" s="28" t="s">
        <v>314</v>
      </c>
      <c r="N67" s="17">
        <v>3.3732506551167126E-4</v>
      </c>
      <c r="O67" s="17">
        <v>1.5921743092150886E-4</v>
      </c>
      <c r="P67" s="17">
        <v>3.1371231092585424E-4</v>
      </c>
      <c r="Q67" s="17">
        <v>2.6952272734382537E-4</v>
      </c>
      <c r="R67" s="17">
        <v>2.6952272734382537E-4</v>
      </c>
      <c r="S67" s="17">
        <v>4.2703666668450026E-5</v>
      </c>
      <c r="T67" s="17">
        <v>4.4046220429186473E-3</v>
      </c>
      <c r="U67" s="28">
        <v>15.502854241684634</v>
      </c>
      <c r="V67" s="132">
        <v>1.0254681991554806</v>
      </c>
      <c r="W67" t="s">
        <v>314</v>
      </c>
      <c r="Y67" s="51"/>
      <c r="Z67" s="33"/>
      <c r="AA67" s="45"/>
      <c r="AB67" s="33"/>
      <c r="AC67" s="136"/>
      <c r="AD67" s="33"/>
      <c r="AE67" s="51"/>
    </row>
    <row r="68" spans="1:31" x14ac:dyDescent="0.25">
      <c r="A68" s="4" t="s">
        <v>319</v>
      </c>
      <c r="B68" s="4">
        <v>2103008000</v>
      </c>
      <c r="C68" s="4" t="s">
        <v>148</v>
      </c>
      <c r="D68" s="17">
        <v>1.0907183589339993E-3</v>
      </c>
      <c r="E68" s="17">
        <v>4.3366689027422037E-5</v>
      </c>
      <c r="F68" s="17">
        <v>9.4541280565428524E-6</v>
      </c>
      <c r="G68" s="17">
        <v>3.0673763335701783E-4</v>
      </c>
      <c r="H68" s="17">
        <v>3.0673763335701783E-4</v>
      </c>
      <c r="I68" s="17">
        <v>1.1231577533620158E-5</v>
      </c>
      <c r="J68" s="17">
        <v>2.1817155207571283E-3</v>
      </c>
      <c r="K68" s="28">
        <v>9.9032591487055033</v>
      </c>
      <c r="L68" s="132">
        <v>0.81778207689095661</v>
      </c>
      <c r="M68" s="28" t="s">
        <v>314</v>
      </c>
      <c r="N68" s="17">
        <v>8.9417200808487429E-4</v>
      </c>
      <c r="O68" s="17">
        <v>3.6384819286996321E-5</v>
      </c>
      <c r="P68" s="17">
        <v>7.722442145977874E-6</v>
      </c>
      <c r="Q68" s="17">
        <v>2.6400762512984857E-4</v>
      </c>
      <c r="R68" s="17">
        <v>2.6400762512984857E-4</v>
      </c>
      <c r="S68" s="17">
        <v>1.0176294332303952E-5</v>
      </c>
      <c r="T68" s="17">
        <v>1.9194920963844482E-3</v>
      </c>
      <c r="U68" s="28">
        <v>8.0893071656224507</v>
      </c>
      <c r="V68" s="132">
        <v>0.66799124562708578</v>
      </c>
      <c r="W68" t="s">
        <v>314</v>
      </c>
      <c r="Y68" s="51"/>
      <c r="Z68" s="33"/>
      <c r="AA68" s="45"/>
      <c r="AB68" s="33"/>
      <c r="AC68" s="136"/>
      <c r="AD68" s="33"/>
      <c r="AE68" s="51"/>
    </row>
    <row r="69" spans="1:31" x14ac:dyDescent="0.25">
      <c r="A69" s="8" t="s">
        <v>319</v>
      </c>
      <c r="B69" s="8">
        <v>2102012000</v>
      </c>
      <c r="C69" s="8" t="s">
        <v>149</v>
      </c>
      <c r="D69" s="32">
        <v>4.6572617087992899E-4</v>
      </c>
      <c r="E69" s="32">
        <v>2.4313208047262624E-2</v>
      </c>
      <c r="F69" s="32">
        <v>1.7215675806713709E-2</v>
      </c>
      <c r="G69" s="32">
        <v>2.4237240576798031E-3</v>
      </c>
      <c r="H69" s="32">
        <v>2.4237240576798031E-3</v>
      </c>
      <c r="I69" s="32">
        <v>1.6944363412197307E-5</v>
      </c>
      <c r="J69" s="32">
        <v>5.7879977496831129E-3</v>
      </c>
      <c r="K69" s="29">
        <v>129.0061493337403</v>
      </c>
      <c r="L69" s="133">
        <v>0.93145234175985725</v>
      </c>
      <c r="M69" s="29" t="s">
        <v>315</v>
      </c>
      <c r="N69" s="32">
        <v>4.6572617087992899E-4</v>
      </c>
      <c r="O69" s="32">
        <v>2.4313208047262624E-2</v>
      </c>
      <c r="P69" s="32">
        <v>1.7215675806713709E-2</v>
      </c>
      <c r="Q69" s="32">
        <v>2.4237240576798031E-3</v>
      </c>
      <c r="R69" s="32">
        <v>2.4237240576798031E-3</v>
      </c>
      <c r="S69" s="32">
        <v>1.6944363412197307E-5</v>
      </c>
      <c r="T69" s="32">
        <v>5.7879977496831129E-3</v>
      </c>
      <c r="U69" s="29">
        <v>129.0061493337403</v>
      </c>
      <c r="V69" s="133">
        <v>0.93145234175985725</v>
      </c>
      <c r="W69" s="7" t="s">
        <v>315</v>
      </c>
      <c r="Y69" s="137">
        <f t="shared" si="1"/>
        <v>7.2202166064981969E-3</v>
      </c>
      <c r="Z69" s="41">
        <f t="shared" si="1"/>
        <v>0.37693099395384777</v>
      </c>
      <c r="AA69" s="70">
        <f t="shared" si="1"/>
        <v>0.26689697964980835</v>
      </c>
      <c r="AB69" s="41">
        <f t="shared" si="1"/>
        <v>3.7575325985579229E-2</v>
      </c>
      <c r="AC69" s="138">
        <f t="shared" si="1"/>
        <v>3.7575325985579229E-2</v>
      </c>
      <c r="AD69" s="41">
        <f t="shared" si="1"/>
        <v>2.6269078644246729E-4</v>
      </c>
      <c r="AE69" s="137">
        <f t="shared" si="1"/>
        <v>8.9732121756607136E-2</v>
      </c>
    </row>
    <row r="70" spans="1:31" x14ac:dyDescent="0.25">
      <c r="A70" s="71" t="s">
        <v>319</v>
      </c>
      <c r="B70" s="71" t="s">
        <v>320</v>
      </c>
      <c r="C70" s="71"/>
      <c r="D70" s="72">
        <v>9.7791049424252936</v>
      </c>
      <c r="E70" s="72">
        <v>2.8016799578662233</v>
      </c>
      <c r="F70" s="72">
        <v>4.3763976589291627</v>
      </c>
      <c r="G70" s="72">
        <v>2.8705113029063547</v>
      </c>
      <c r="H70" s="72">
        <v>2.8705113029063547</v>
      </c>
      <c r="I70" s="72">
        <v>0.14902813689779856</v>
      </c>
      <c r="J70" s="72">
        <v>30.886715180910468</v>
      </c>
      <c r="K70" s="31">
        <v>55736.618659812397</v>
      </c>
      <c r="L70" s="31"/>
      <c r="M70" s="31"/>
      <c r="N70" s="72">
        <v>8.8168314651137951</v>
      </c>
      <c r="O70" s="72">
        <v>2.6147221468757476</v>
      </c>
      <c r="P70" s="72">
        <v>4.0557215266289344</v>
      </c>
      <c r="Q70" s="72">
        <v>2.5537322330297423</v>
      </c>
      <c r="R70" s="72">
        <v>2.5537322330297423</v>
      </c>
      <c r="S70" s="72">
        <v>0.13588202311739855</v>
      </c>
      <c r="T70" s="72">
        <v>27.244387261676344</v>
      </c>
      <c r="U70" s="31">
        <v>51909.49387827146</v>
      </c>
      <c r="Y70" s="51">
        <f t="shared" si="1"/>
        <v>0.33970015141312676</v>
      </c>
      <c r="Z70" s="33">
        <f t="shared" si="1"/>
        <v>0.100741577369539</v>
      </c>
      <c r="AA70" s="45">
        <f t="shared" si="1"/>
        <v>0.1562612625790443</v>
      </c>
      <c r="AB70" s="33">
        <f t="shared" si="1"/>
        <v>9.8391721522782805E-2</v>
      </c>
      <c r="AC70" s="136">
        <f t="shared" si="1"/>
        <v>9.8391721522782805E-2</v>
      </c>
      <c r="AD70" s="33">
        <f t="shared" si="1"/>
        <v>5.2353437864774387E-3</v>
      </c>
      <c r="AE70" s="51">
        <f t="shared" si="1"/>
        <v>1.0496880330047078</v>
      </c>
    </row>
    <row r="71" spans="1:31" x14ac:dyDescent="0.25">
      <c r="R71" s="17"/>
    </row>
    <row r="72" spans="1:31" x14ac:dyDescent="0.25">
      <c r="L72" s="132"/>
      <c r="Y72" s="262" t="s">
        <v>318</v>
      </c>
      <c r="Z72" s="262"/>
      <c r="AA72" s="262"/>
      <c r="AB72" s="262"/>
      <c r="AC72" s="262"/>
      <c r="AD72" s="262"/>
      <c r="AE72" s="262"/>
    </row>
    <row r="73" spans="1:31" x14ac:dyDescent="0.25">
      <c r="I73" s="262" t="s">
        <v>321</v>
      </c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Y73" s="8" t="s">
        <v>27</v>
      </c>
      <c r="Z73" s="8" t="s">
        <v>28</v>
      </c>
      <c r="AA73" s="65" t="s">
        <v>29</v>
      </c>
      <c r="AB73" s="8" t="s">
        <v>30</v>
      </c>
      <c r="AC73" s="139" t="s">
        <v>31</v>
      </c>
      <c r="AD73" s="8" t="s">
        <v>32</v>
      </c>
      <c r="AE73" s="8" t="s">
        <v>33</v>
      </c>
    </row>
    <row r="74" spans="1:31" x14ac:dyDescent="0.25">
      <c r="I74" s="71"/>
      <c r="J74" s="71"/>
      <c r="K74" s="71"/>
      <c r="L74" s="71"/>
      <c r="M74" s="11" t="s">
        <v>322</v>
      </c>
      <c r="N74" s="17">
        <f>SUM(N51,N54)</f>
        <v>1.481886549181034</v>
      </c>
      <c r="O74" s="17">
        <f t="shared" ref="O74:U74" si="2">SUM(O51,O54)</f>
        <v>4.2371875575486384E-2</v>
      </c>
      <c r="P74" s="17">
        <f t="shared" si="2"/>
        <v>1.1184049427781388E-2</v>
      </c>
      <c r="Q74" s="17">
        <f t="shared" si="2"/>
        <v>0.36372866111135338</v>
      </c>
      <c r="R74" s="17">
        <f t="shared" si="2"/>
        <v>0.36372866111135338</v>
      </c>
      <c r="S74" s="17">
        <f t="shared" si="2"/>
        <v>1.2811818380200866E-2</v>
      </c>
      <c r="T74" s="17">
        <f t="shared" si="2"/>
        <v>3.5318936418661977</v>
      </c>
      <c r="U74" s="28">
        <f t="shared" si="2"/>
        <v>898.05936463303055</v>
      </c>
      <c r="Y74" s="51">
        <f t="shared" ref="Y74:AE81" si="3">N74/$U74*2000</f>
        <v>3.3001973088640297</v>
      </c>
      <c r="Z74" s="33">
        <f t="shared" si="3"/>
        <v>9.4363195227746638E-2</v>
      </c>
      <c r="AA74" s="45">
        <f t="shared" si="3"/>
        <v>2.4907149500860603E-2</v>
      </c>
      <c r="AB74" s="33">
        <f t="shared" si="3"/>
        <v>0.81003255560946574</v>
      </c>
      <c r="AC74" s="136">
        <f t="shared" si="3"/>
        <v>0.81003255560946574</v>
      </c>
      <c r="AD74" s="33">
        <f t="shared" si="3"/>
        <v>2.8532230462150115E-2</v>
      </c>
      <c r="AE74" s="51">
        <f t="shared" si="3"/>
        <v>7.8656128558036196</v>
      </c>
    </row>
    <row r="75" spans="1:31" x14ac:dyDescent="0.25">
      <c r="M75" s="11" t="s">
        <v>323</v>
      </c>
      <c r="N75" s="17">
        <f t="shared" ref="N75:U75" si="4">SUM(N52:N53,N55:N56)</f>
        <v>1.6589032929417462</v>
      </c>
      <c r="O75" s="17">
        <f t="shared" si="4"/>
        <v>0.20562920808931448</v>
      </c>
      <c r="P75" s="17">
        <f t="shared" si="4"/>
        <v>5.0547708022716284E-2</v>
      </c>
      <c r="Q75" s="17">
        <f t="shared" si="4"/>
        <v>1.0672136366978702</v>
      </c>
      <c r="R75" s="17">
        <f t="shared" si="4"/>
        <v>1.0672136366978702</v>
      </c>
      <c r="S75" s="17">
        <f t="shared" si="4"/>
        <v>3.541859942960876E-2</v>
      </c>
      <c r="T75" s="17">
        <f t="shared" si="4"/>
        <v>15.650864510734799</v>
      </c>
      <c r="U75" s="28">
        <f t="shared" si="4"/>
        <v>4058.8914456846815</v>
      </c>
      <c r="Y75" s="51">
        <f t="shared" si="3"/>
        <v>0.817416930282998</v>
      </c>
      <c r="Z75" s="33">
        <f t="shared" si="3"/>
        <v>0.10132284188478834</v>
      </c>
      <c r="AA75" s="45">
        <f t="shared" si="3"/>
        <v>2.4907149500860599E-2</v>
      </c>
      <c r="AB75" s="33">
        <f t="shared" si="3"/>
        <v>0.52586458690956461</v>
      </c>
      <c r="AC75" s="136">
        <f t="shared" si="3"/>
        <v>0.52586458690956461</v>
      </c>
      <c r="AD75" s="33">
        <f t="shared" si="3"/>
        <v>1.7452351167097601E-2</v>
      </c>
      <c r="AE75" s="51">
        <f t="shared" si="3"/>
        <v>7.7118911506610663</v>
      </c>
    </row>
    <row r="76" spans="1:31" x14ac:dyDescent="0.25">
      <c r="M76" s="11" t="s">
        <v>324</v>
      </c>
      <c r="N76" s="17">
        <f t="shared" ref="N76:V76" si="5">SUM(N60,N62:N63)</f>
        <v>8.3070651601639456E-2</v>
      </c>
      <c r="O76" s="17">
        <f t="shared" si="5"/>
        <v>1.306912892256002</v>
      </c>
      <c r="P76" s="17">
        <f t="shared" si="5"/>
        <v>3.3673997987499407</v>
      </c>
      <c r="Q76" s="17">
        <f t="shared" si="5"/>
        <v>5.3153181282182931E-2</v>
      </c>
      <c r="R76" s="17">
        <f t="shared" si="5"/>
        <v>5.3153181282182931E-2</v>
      </c>
      <c r="S76" s="17">
        <f t="shared" si="5"/>
        <v>2.8540459566263098E-3</v>
      </c>
      <c r="T76" s="17">
        <f t="shared" si="5"/>
        <v>5.2177882742298336E-2</v>
      </c>
      <c r="U76" s="28">
        <f t="shared" si="5"/>
        <v>31228.984725611528</v>
      </c>
      <c r="V76" s="132">
        <f t="shared" si="5"/>
        <v>233.0172555445707</v>
      </c>
      <c r="W76" t="s">
        <v>315</v>
      </c>
      <c r="Y76" s="51">
        <f t="shared" si="3"/>
        <v>5.3200994096687052E-3</v>
      </c>
      <c r="Z76" s="33">
        <f t="shared" si="3"/>
        <v>8.3698711548837262E-2</v>
      </c>
      <c r="AA76" s="45">
        <f t="shared" si="3"/>
        <v>0.21565861511906709</v>
      </c>
      <c r="AB76" s="33">
        <f t="shared" si="3"/>
        <v>3.4040928162862062E-3</v>
      </c>
      <c r="AC76" s="136">
        <f t="shared" si="3"/>
        <v>3.4040928162862062E-3</v>
      </c>
      <c r="AD76" s="33">
        <f t="shared" si="3"/>
        <v>1.8278185997418279E-4</v>
      </c>
      <c r="AE76" s="51">
        <f t="shared" si="3"/>
        <v>3.3416317053372659E-3</v>
      </c>
    </row>
    <row r="77" spans="1:31" x14ac:dyDescent="0.25">
      <c r="M77" s="11" t="s">
        <v>325</v>
      </c>
      <c r="N77" s="17">
        <f t="shared" ref="N77:U77" si="6">SUM(N64,N66)</f>
        <v>0.11772819704044263</v>
      </c>
      <c r="O77" s="17">
        <f t="shared" si="6"/>
        <v>6.6418827378820225E-2</v>
      </c>
      <c r="P77" s="17">
        <f t="shared" si="6"/>
        <v>0.10895122045269644</v>
      </c>
      <c r="Q77" s="17">
        <f t="shared" si="6"/>
        <v>9.4445373612301639E-2</v>
      </c>
      <c r="R77" s="17">
        <f t="shared" si="6"/>
        <v>9.4445373612301639E-2</v>
      </c>
      <c r="S77" s="17">
        <f t="shared" si="6"/>
        <v>1.7195462653012788E-2</v>
      </c>
      <c r="T77" s="17">
        <f t="shared" si="6"/>
        <v>1.533458834533604</v>
      </c>
      <c r="U77" s="28">
        <f t="shared" si="6"/>
        <v>649.00890414896389</v>
      </c>
      <c r="Y77" s="51">
        <f t="shared" si="3"/>
        <v>0.36279378075657659</v>
      </c>
      <c r="Z77" s="33">
        <f t="shared" si="3"/>
        <v>0.20467770766847732</v>
      </c>
      <c r="AA77" s="45">
        <f t="shared" si="3"/>
        <v>0.33574645819555465</v>
      </c>
      <c r="AB77" s="33">
        <f t="shared" si="3"/>
        <v>0.29104492406355043</v>
      </c>
      <c r="AC77" s="136">
        <f t="shared" si="3"/>
        <v>0.29104492406355043</v>
      </c>
      <c r="AD77" s="33">
        <f t="shared" si="3"/>
        <v>5.2989912905928319E-2</v>
      </c>
      <c r="AE77" s="51">
        <f t="shared" si="3"/>
        <v>4.7255402036260401</v>
      </c>
    </row>
    <row r="78" spans="1:31" x14ac:dyDescent="0.25">
      <c r="M78" s="11" t="s">
        <v>326</v>
      </c>
      <c r="N78" s="17">
        <f t="shared" ref="N78:V78" si="7">N61</f>
        <v>2.6669417645296341E-2</v>
      </c>
      <c r="O78" s="17">
        <f t="shared" si="7"/>
        <v>0.67328123087704628</v>
      </c>
      <c r="P78" s="17">
        <f t="shared" si="7"/>
        <v>0.47590509759415767</v>
      </c>
      <c r="Q78" s="17">
        <f t="shared" si="7"/>
        <v>1.7078792069257043E-2</v>
      </c>
      <c r="R78" s="17">
        <f t="shared" si="7"/>
        <v>1.7078792069257043E-2</v>
      </c>
      <c r="S78" s="17">
        <f t="shared" si="7"/>
        <v>9.1627719451564042E-4</v>
      </c>
      <c r="T78" s="17">
        <f t="shared" si="7"/>
        <v>1.6751448554596291E-2</v>
      </c>
      <c r="U78" s="28">
        <f t="shared" si="7"/>
        <v>10361.050052941217</v>
      </c>
      <c r="V78" s="132">
        <f t="shared" si="7"/>
        <v>77.19990333189152</v>
      </c>
      <c r="W78" t="s">
        <v>315</v>
      </c>
      <c r="Y78" s="51">
        <f t="shared" si="3"/>
        <v>5.1480144404332127E-3</v>
      </c>
      <c r="Z78" s="33">
        <f t="shared" si="3"/>
        <v>0.12996389891696744</v>
      </c>
      <c r="AA78" s="45">
        <f t="shared" si="3"/>
        <v>9.1864259927797814E-2</v>
      </c>
      <c r="AB78" s="33">
        <f t="shared" si="3"/>
        <v>3.2967299611507705E-3</v>
      </c>
      <c r="AC78" s="136">
        <f t="shared" si="3"/>
        <v>3.2967299611507705E-3</v>
      </c>
      <c r="AD78" s="33">
        <f t="shared" si="3"/>
        <v>1.7686956241573886E-4</v>
      </c>
      <c r="AE78" s="51">
        <f t="shared" si="3"/>
        <v>3.2335426368953826E-3</v>
      </c>
    </row>
    <row r="79" spans="1:31" x14ac:dyDescent="0.25">
      <c r="M79" s="11" t="s">
        <v>327</v>
      </c>
      <c r="N79" s="17">
        <f t="shared" ref="N79:U79" si="8">SUM(N50:N59,N68)</f>
        <v>8.5815772821484604</v>
      </c>
      <c r="O79" s="17">
        <f t="shared" si="8"/>
        <v>0.41667558103905278</v>
      </c>
      <c r="P79" s="17">
        <f t="shared" si="8"/>
        <v>8.5174254575419536E-2</v>
      </c>
      <c r="Q79" s="17">
        <f t="shared" si="8"/>
        <v>2.3767125888526319</v>
      </c>
      <c r="R79" s="17">
        <f t="shared" si="8"/>
        <v>2.3767125888526319</v>
      </c>
      <c r="S79" s="17">
        <f t="shared" si="8"/>
        <v>8.9464351313834747E-2</v>
      </c>
      <c r="T79" s="17">
        <f t="shared" si="8"/>
        <v>25.58102200011459</v>
      </c>
      <c r="U79" s="28">
        <f t="shared" si="8"/>
        <v>6948.6290381074932</v>
      </c>
      <c r="Y79" s="51">
        <f t="shared" si="3"/>
        <v>2.4700058774430449</v>
      </c>
      <c r="Z79" s="33">
        <f t="shared" si="3"/>
        <v>0.11993029956094396</v>
      </c>
      <c r="AA79" s="45">
        <f t="shared" si="3"/>
        <v>2.4515412783819392E-2</v>
      </c>
      <c r="AB79" s="33">
        <f t="shared" si="3"/>
        <v>0.68408101103637164</v>
      </c>
      <c r="AC79" s="136">
        <f t="shared" si="3"/>
        <v>0.68408101103637164</v>
      </c>
      <c r="AD79" s="33">
        <f t="shared" si="3"/>
        <v>2.5750216574577989E-2</v>
      </c>
      <c r="AE79" s="51">
        <f t="shared" si="3"/>
        <v>7.3628975902509124</v>
      </c>
    </row>
    <row r="80" spans="1:31" x14ac:dyDescent="0.25">
      <c r="M80" s="11" t="s">
        <v>328</v>
      </c>
      <c r="N80" s="17">
        <f t="shared" ref="N80:U80" si="9">SUM(N65,N67,N69)</f>
        <v>7.7859166779569158E-3</v>
      </c>
      <c r="O80" s="17">
        <f t="shared" si="9"/>
        <v>0.15143361532482622</v>
      </c>
      <c r="P80" s="17">
        <f t="shared" si="9"/>
        <v>1.8291155256719416E-2</v>
      </c>
      <c r="Q80" s="17">
        <f t="shared" si="9"/>
        <v>1.2342297213368422E-2</v>
      </c>
      <c r="R80" s="17">
        <f t="shared" si="9"/>
        <v>1.2342297213368422E-2</v>
      </c>
      <c r="S80" s="17">
        <f t="shared" si="9"/>
        <v>2.5451885999409046E-2</v>
      </c>
      <c r="T80" s="17">
        <f t="shared" si="9"/>
        <v>6.0977095731258549E-2</v>
      </c>
      <c r="U80" s="28">
        <f t="shared" si="9"/>
        <v>2721.8211574622569</v>
      </c>
      <c r="Y80" s="51">
        <f t="shared" si="3"/>
        <v>5.7211082047846726E-3</v>
      </c>
      <c r="Z80" s="33">
        <f t="shared" si="3"/>
        <v>0.11127374398545591</v>
      </c>
      <c r="AA80" s="45">
        <f t="shared" si="3"/>
        <v>1.3440379950439897E-2</v>
      </c>
      <c r="AB80" s="33">
        <f t="shared" si="3"/>
        <v>9.0691463541094693E-3</v>
      </c>
      <c r="AC80" s="136">
        <f t="shared" si="3"/>
        <v>9.0691463541094693E-3</v>
      </c>
      <c r="AD80" s="33">
        <f t="shared" si="3"/>
        <v>1.8702100194664964E-2</v>
      </c>
      <c r="AE80" s="51">
        <f t="shared" si="3"/>
        <v>4.4806100183387314E-2</v>
      </c>
    </row>
    <row r="81" spans="13:31" x14ac:dyDescent="0.25">
      <c r="M81" s="11" t="s">
        <v>329</v>
      </c>
      <c r="N81" s="17">
        <f>SUM(N76:N80)</f>
        <v>8.8168314651137951</v>
      </c>
      <c r="O81" s="17">
        <f t="shared" ref="O81:U81" si="10">SUM(O76:O80)</f>
        <v>2.6147221468757471</v>
      </c>
      <c r="P81" s="17">
        <f t="shared" si="10"/>
        <v>4.0557215266289335</v>
      </c>
      <c r="Q81" s="17">
        <f t="shared" si="10"/>
        <v>2.5537322330297418</v>
      </c>
      <c r="R81" s="17">
        <f t="shared" si="10"/>
        <v>2.5537322330297418</v>
      </c>
      <c r="S81" s="17">
        <f t="shared" si="10"/>
        <v>0.13588202311739853</v>
      </c>
      <c r="T81" s="17">
        <f t="shared" si="10"/>
        <v>27.244387261676344</v>
      </c>
      <c r="U81" s="28">
        <f t="shared" si="10"/>
        <v>51909.49387827146</v>
      </c>
      <c r="Y81" s="51">
        <f t="shared" si="3"/>
        <v>0.33970015141312676</v>
      </c>
      <c r="Z81" s="33">
        <f t="shared" si="3"/>
        <v>0.10074157736953898</v>
      </c>
      <c r="AA81" s="45">
        <f t="shared" si="3"/>
        <v>0.15626126257904427</v>
      </c>
      <c r="AB81" s="33">
        <f t="shared" si="3"/>
        <v>9.8391721522782791E-2</v>
      </c>
      <c r="AC81" s="136">
        <f t="shared" si="3"/>
        <v>9.8391721522782791E-2</v>
      </c>
      <c r="AD81" s="33">
        <f t="shared" si="3"/>
        <v>5.2353437864774378E-3</v>
      </c>
      <c r="AE81" s="51">
        <f t="shared" si="3"/>
        <v>1.0496880330047078</v>
      </c>
    </row>
  </sheetData>
  <autoFilter ref="A1:W2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1">
    <mergeCell ref="Y48:AE48"/>
    <mergeCell ref="Y72:AE72"/>
    <mergeCell ref="I73:U73"/>
    <mergeCell ref="A1:W1"/>
    <mergeCell ref="A2:W2"/>
    <mergeCell ref="D3:K3"/>
    <mergeCell ref="N3:U3"/>
    <mergeCell ref="D4:J4"/>
    <mergeCell ref="K4:L4"/>
    <mergeCell ref="N4:T4"/>
    <mergeCell ref="U4:V4"/>
  </mergeCells>
  <printOptions horizontalCentered="1" verticalCentered="1"/>
  <pageMargins left="0" right="0" top="0.25" bottom="0.5" header="0.05" footer="0.3"/>
  <pageSetup scale="52" orientation="landscape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CC"/>
  </sheetPr>
  <dimension ref="A3:BR69"/>
  <sheetViews>
    <sheetView topLeftCell="I1" zoomScale="85" zoomScaleNormal="85" workbookViewId="0">
      <pane ySplit="5" topLeftCell="A6" activePane="bottomLeft" state="frozen"/>
      <selection activeCell="BG66" sqref="BG66"/>
      <selection pane="bottomLeft" activeCell="BG68" sqref="BG68"/>
    </sheetView>
  </sheetViews>
  <sheetFormatPr defaultColWidth="9" defaultRowHeight="15" x14ac:dyDescent="0.25"/>
  <cols>
    <col min="1" max="1" width="9.140625" customWidth="1"/>
    <col min="2" max="2" width="45.7109375" customWidth="1"/>
    <col min="3" max="6" width="10.7109375" style="172" customWidth="1"/>
    <col min="7" max="7" width="9.140625" style="172" customWidth="1"/>
    <col min="8" max="8" width="22" style="172" customWidth="1"/>
    <col min="9" max="9" width="29.28515625" style="172" customWidth="1"/>
    <col min="10" max="10" width="30.28515625" style="172" customWidth="1"/>
    <col min="11" max="11" width="9.140625" style="172" customWidth="1"/>
    <col min="12" max="12" width="23.42578125" style="172" customWidth="1"/>
    <col min="13" max="17" width="10.7109375" style="172" customWidth="1"/>
    <col min="18" max="18" width="14.42578125" customWidth="1"/>
    <col min="19" max="22" width="9.140625" style="172" hidden="1" customWidth="1"/>
    <col min="23" max="23" width="9.140625" style="172" customWidth="1"/>
    <col min="24" max="24" width="9" style="172" customWidth="1"/>
    <col min="25" max="25" width="9.140625" style="172" hidden="1" customWidth="1"/>
    <col min="26" max="26" width="9.7109375" style="172" customWidth="1"/>
    <col min="27" max="28" width="9.140625" style="172" hidden="1" customWidth="1"/>
    <col min="29" max="29" width="12.5703125" style="172" hidden="1" customWidth="1"/>
    <col min="30" max="30" width="53.42578125" customWidth="1"/>
    <col min="31" max="31" width="42.28515625" hidden="1" customWidth="1"/>
    <col min="32" max="32" width="21.7109375" hidden="1" customWidth="1"/>
    <col min="33" max="34" width="0" hidden="1" customWidth="1"/>
    <col min="35" max="36" width="12.7109375" hidden="1" customWidth="1"/>
    <col min="37" max="37" width="0" hidden="1" customWidth="1"/>
    <col min="38" max="38" width="11.42578125" hidden="1" customWidth="1"/>
    <col min="39" max="39" width="0" hidden="1" customWidth="1"/>
    <col min="40" max="40" width="16.7109375" hidden="1" customWidth="1"/>
    <col min="41" max="41" width="9.28515625" hidden="1" customWidth="1"/>
    <col min="42" max="42" width="10.28515625" hidden="1" customWidth="1"/>
    <col min="43" max="43" width="13.28515625" hidden="1" customWidth="1"/>
    <col min="44" max="44" width="9.42578125" hidden="1" customWidth="1"/>
    <col min="45" max="45" width="11.140625" hidden="1" customWidth="1"/>
    <col min="46" max="46" width="10" hidden="1" customWidth="1"/>
    <col min="47" max="48" width="0" hidden="1" customWidth="1"/>
    <col min="49" max="49" width="14.42578125" customWidth="1"/>
    <col min="54" max="54" width="9" customWidth="1"/>
  </cols>
  <sheetData>
    <row r="3" spans="1:70" x14ac:dyDescent="0.25">
      <c r="M3" s="177" t="s">
        <v>362</v>
      </c>
      <c r="N3" s="177" t="s">
        <v>363</v>
      </c>
      <c r="O3" s="177" t="s">
        <v>364</v>
      </c>
      <c r="P3" s="177" t="s">
        <v>365</v>
      </c>
    </row>
    <row r="4" spans="1:70" x14ac:dyDescent="0.25">
      <c r="I4" s="272" t="s">
        <v>366</v>
      </c>
      <c r="J4" s="272"/>
      <c r="K4" s="272"/>
      <c r="L4" s="272"/>
      <c r="M4" s="272" t="s">
        <v>367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 t="s">
        <v>368</v>
      </c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178"/>
      <c r="AX4" s="272" t="s">
        <v>369</v>
      </c>
      <c r="AY4" s="272"/>
      <c r="AZ4" s="272"/>
      <c r="BA4" s="272"/>
      <c r="BB4" s="272"/>
      <c r="BC4" s="272"/>
      <c r="BD4" s="272"/>
      <c r="BE4" s="272" t="s">
        <v>370</v>
      </c>
      <c r="BF4" s="272"/>
      <c r="BG4" s="272"/>
      <c r="BH4" s="272"/>
      <c r="BI4" s="272"/>
      <c r="BJ4" s="272"/>
      <c r="BK4" s="272"/>
      <c r="BL4" s="272" t="s">
        <v>260</v>
      </c>
      <c r="BM4" s="272"/>
      <c r="BN4" s="272"/>
      <c r="BO4" s="272"/>
      <c r="BP4" s="272"/>
      <c r="BQ4" s="272"/>
      <c r="BR4" s="272"/>
    </row>
    <row r="5" spans="1:70" s="186" customFormat="1" ht="45" customHeight="1" thickBot="1" x14ac:dyDescent="0.3">
      <c r="A5" s="179" t="s">
        <v>371</v>
      </c>
      <c r="B5" s="179" t="s">
        <v>372</v>
      </c>
      <c r="C5" s="179" t="s">
        <v>373</v>
      </c>
      <c r="D5" s="179" t="s">
        <v>374</v>
      </c>
      <c r="E5" s="180" t="s">
        <v>375</v>
      </c>
      <c r="F5" s="180" t="s">
        <v>376</v>
      </c>
      <c r="G5" s="179" t="s">
        <v>377</v>
      </c>
      <c r="H5" s="179" t="s">
        <v>378</v>
      </c>
      <c r="I5" s="179" t="s">
        <v>379</v>
      </c>
      <c r="J5" s="179" t="s">
        <v>380</v>
      </c>
      <c r="K5" s="179" t="s">
        <v>381</v>
      </c>
      <c r="L5" s="179" t="s">
        <v>382</v>
      </c>
      <c r="M5" s="181" t="s">
        <v>383</v>
      </c>
      <c r="N5" s="181" t="s">
        <v>384</v>
      </c>
      <c r="O5" s="181" t="s">
        <v>385</v>
      </c>
      <c r="P5" s="181" t="s">
        <v>386</v>
      </c>
      <c r="Q5" s="182" t="s">
        <v>387</v>
      </c>
      <c r="R5" s="179" t="s">
        <v>388</v>
      </c>
      <c r="S5" s="179" t="s">
        <v>389</v>
      </c>
      <c r="T5" s="179" t="s">
        <v>390</v>
      </c>
      <c r="U5" s="179" t="s">
        <v>391</v>
      </c>
      <c r="V5" s="179" t="s">
        <v>392</v>
      </c>
      <c r="W5" s="179" t="s">
        <v>393</v>
      </c>
      <c r="X5" s="179" t="s">
        <v>394</v>
      </c>
      <c r="Y5" s="179" t="s">
        <v>395</v>
      </c>
      <c r="Z5" s="179" t="s">
        <v>396</v>
      </c>
      <c r="AA5" s="179" t="s">
        <v>397</v>
      </c>
      <c r="AB5" s="179" t="s">
        <v>398</v>
      </c>
      <c r="AC5" s="179" t="s">
        <v>399</v>
      </c>
      <c r="AD5" s="179" t="s">
        <v>156</v>
      </c>
      <c r="AE5" s="183" t="s">
        <v>400</v>
      </c>
      <c r="AF5" s="183" t="s">
        <v>401</v>
      </c>
      <c r="AG5" s="183" t="s">
        <v>402</v>
      </c>
      <c r="AH5" s="183" t="s">
        <v>403</v>
      </c>
      <c r="AI5" s="183" t="s">
        <v>404</v>
      </c>
      <c r="AJ5" s="183" t="s">
        <v>405</v>
      </c>
      <c r="AK5" s="183" t="s">
        <v>406</v>
      </c>
      <c r="AL5" s="183" t="s">
        <v>407</v>
      </c>
      <c r="AM5" s="183" t="s">
        <v>408</v>
      </c>
      <c r="AN5" s="183" t="s">
        <v>409</v>
      </c>
      <c r="AO5" s="183" t="s">
        <v>410</v>
      </c>
      <c r="AP5" s="183" t="s">
        <v>411</v>
      </c>
      <c r="AQ5" s="183" t="s">
        <v>412</v>
      </c>
      <c r="AR5" s="183" t="s">
        <v>413</v>
      </c>
      <c r="AS5" s="183" t="s">
        <v>414</v>
      </c>
      <c r="AT5" s="183" t="s">
        <v>415</v>
      </c>
      <c r="AU5" s="184" t="s">
        <v>416</v>
      </c>
      <c r="AV5" s="184" t="s">
        <v>417</v>
      </c>
      <c r="AW5" s="185" t="s">
        <v>418</v>
      </c>
      <c r="AX5" s="179" t="s">
        <v>31</v>
      </c>
      <c r="AY5" s="179" t="s">
        <v>30</v>
      </c>
      <c r="AZ5" s="179" t="s">
        <v>29</v>
      </c>
      <c r="BA5" s="179" t="s">
        <v>336</v>
      </c>
      <c r="BB5" s="179" t="s">
        <v>27</v>
      </c>
      <c r="BC5" s="179" t="s">
        <v>33</v>
      </c>
      <c r="BD5" s="179" t="s">
        <v>32</v>
      </c>
      <c r="BE5" s="179" t="s">
        <v>31</v>
      </c>
      <c r="BF5" s="179" t="s">
        <v>30</v>
      </c>
      <c r="BG5" s="179" t="s">
        <v>29</v>
      </c>
      <c r="BH5" s="179" t="s">
        <v>336</v>
      </c>
      <c r="BI5" s="179" t="s">
        <v>27</v>
      </c>
      <c r="BJ5" s="179" t="s">
        <v>33</v>
      </c>
      <c r="BK5" s="179" t="s">
        <v>32</v>
      </c>
      <c r="BL5" s="179" t="s">
        <v>31</v>
      </c>
      <c r="BM5" s="179" t="s">
        <v>30</v>
      </c>
      <c r="BN5" s="179" t="s">
        <v>29</v>
      </c>
      <c r="BO5" s="179" t="s">
        <v>336</v>
      </c>
      <c r="BP5" s="179" t="s">
        <v>27</v>
      </c>
      <c r="BQ5" s="179" t="s">
        <v>33</v>
      </c>
      <c r="BR5" s="179" t="s">
        <v>32</v>
      </c>
    </row>
    <row r="6" spans="1:70" ht="15.75" thickTop="1" x14ac:dyDescent="0.25">
      <c r="A6" s="172"/>
      <c r="B6" s="187"/>
      <c r="E6" s="177"/>
      <c r="F6" s="177"/>
      <c r="I6"/>
      <c r="J6"/>
      <c r="K6"/>
      <c r="L6"/>
      <c r="M6" s="47"/>
      <c r="N6" s="47"/>
      <c r="O6" s="47"/>
      <c r="P6" s="47"/>
      <c r="Q6" s="188"/>
      <c r="R6" s="189"/>
      <c r="S6" s="172">
        <v>7</v>
      </c>
      <c r="T6" s="172">
        <v>52</v>
      </c>
      <c r="U6" s="172">
        <v>24</v>
      </c>
      <c r="V6" s="172">
        <v>8760</v>
      </c>
      <c r="Y6" s="172">
        <v>0</v>
      </c>
      <c r="AA6" s="172">
        <v>54</v>
      </c>
      <c r="AE6" t="e">
        <v>#N/A</v>
      </c>
      <c r="AF6" t="e">
        <v>#N/A</v>
      </c>
      <c r="AI6" s="190" t="e">
        <v>#N/A</v>
      </c>
      <c r="AJ6" s="190" t="e">
        <v>#N/A</v>
      </c>
      <c r="AL6" s="172" t="e">
        <v>#N/A</v>
      </c>
      <c r="AM6" s="172" t="e">
        <v>#N/A</v>
      </c>
      <c r="AN6" s="172" t="e">
        <v>#N/A</v>
      </c>
      <c r="AO6" s="172" t="e">
        <v>#N/A</v>
      </c>
      <c r="AP6" s="172" t="e">
        <v>#N/A</v>
      </c>
      <c r="AQ6" s="172" t="e">
        <v>#N/A</v>
      </c>
      <c r="AR6" s="172" t="e">
        <v>#N/A</v>
      </c>
      <c r="AS6" s="172" t="e">
        <v>#N/A</v>
      </c>
      <c r="AT6" s="172" t="e">
        <v>#N/A</v>
      </c>
      <c r="AU6" s="172" t="e">
        <v>#N/A</v>
      </c>
      <c r="AV6" s="172" t="e">
        <v>#N/A</v>
      </c>
      <c r="AW6" s="191"/>
    </row>
    <row r="7" spans="1:70" hidden="1" x14ac:dyDescent="0.25">
      <c r="A7" s="172">
        <v>71</v>
      </c>
      <c r="B7" s="187" t="s">
        <v>419</v>
      </c>
      <c r="C7" s="172">
        <v>1</v>
      </c>
      <c r="D7" s="172">
        <v>1</v>
      </c>
      <c r="E7" s="177" t="str">
        <f t="shared" ref="E7:E43" si="0">A7&amp;"-"&amp;C7</f>
        <v>71-1</v>
      </c>
      <c r="F7" s="177" t="str">
        <f t="shared" ref="F7:F20" si="1">A7&amp;"-"&amp;D7</f>
        <v>71-1</v>
      </c>
      <c r="G7" s="172" t="s">
        <v>420</v>
      </c>
      <c r="H7" s="172" t="s">
        <v>421</v>
      </c>
      <c r="I7" t="e">
        <v>#VALUE!</v>
      </c>
      <c r="J7" t="e">
        <v>#VALUE!</v>
      </c>
      <c r="K7" t="e">
        <v>#VALUE!</v>
      </c>
      <c r="L7" t="e">
        <v>#VALUE!</v>
      </c>
      <c r="M7" s="47">
        <v>0</v>
      </c>
      <c r="N7" s="47">
        <v>0</v>
      </c>
      <c r="O7" s="47">
        <v>0</v>
      </c>
      <c r="P7" s="47">
        <v>0</v>
      </c>
      <c r="Q7" s="188">
        <v>0</v>
      </c>
      <c r="R7" s="189" t="s">
        <v>422</v>
      </c>
      <c r="S7" s="172">
        <v>7</v>
      </c>
      <c r="T7" s="172">
        <v>52</v>
      </c>
      <c r="U7" s="172">
        <v>24</v>
      </c>
      <c r="V7" s="172">
        <v>8760</v>
      </c>
      <c r="W7" s="172">
        <v>0</v>
      </c>
      <c r="X7" s="172">
        <v>0</v>
      </c>
      <c r="Y7" s="172">
        <v>0</v>
      </c>
      <c r="Z7" s="172">
        <v>3011</v>
      </c>
      <c r="AA7" s="172">
        <v>21.3</v>
      </c>
      <c r="AE7" t="e">
        <v>#VALUE!</v>
      </c>
      <c r="AF7" t="e">
        <v>#VALUE!</v>
      </c>
      <c r="AI7" s="190" t="e">
        <v>#VALUE!</v>
      </c>
      <c r="AJ7" s="190" t="e">
        <v>#VALUE!</v>
      </c>
      <c r="AL7" s="172" t="e">
        <v>#VALUE!</v>
      </c>
      <c r="AM7" s="172" t="e">
        <v>#VALUE!</v>
      </c>
      <c r="AN7" s="172" t="e">
        <v>#VALUE!</v>
      </c>
      <c r="AO7" s="172" t="e">
        <v>#VALUE!</v>
      </c>
      <c r="AP7" s="172" t="e">
        <v>#VALUE!</v>
      </c>
      <c r="AQ7" s="172" t="e">
        <v>#VALUE!</v>
      </c>
      <c r="AR7" s="172" t="e">
        <v>#VALUE!</v>
      </c>
      <c r="AS7" s="172" t="e">
        <v>#VALUE!</v>
      </c>
      <c r="AT7" s="172" t="e">
        <v>#VALUE!</v>
      </c>
      <c r="AU7" s="172" t="e">
        <v>#VALUE!</v>
      </c>
      <c r="AV7" s="172" t="e">
        <v>#VALUE!</v>
      </c>
      <c r="AW7" s="172" t="e">
        <v>#VALUE!</v>
      </c>
    </row>
    <row r="8" spans="1:70" x14ac:dyDescent="0.25">
      <c r="A8" s="172"/>
      <c r="B8" s="187"/>
      <c r="E8" s="177"/>
      <c r="F8" s="177"/>
      <c r="I8"/>
      <c r="J8"/>
      <c r="K8"/>
      <c r="L8"/>
      <c r="M8" s="47"/>
      <c r="N8" s="47"/>
      <c r="O8" s="47"/>
      <c r="P8" s="47"/>
      <c r="Q8" s="188"/>
      <c r="R8" s="189"/>
      <c r="S8" s="172">
        <v>7</v>
      </c>
      <c r="T8" s="172">
        <v>52</v>
      </c>
      <c r="U8" s="172">
        <v>24</v>
      </c>
      <c r="V8" s="172">
        <v>8760</v>
      </c>
      <c r="Y8" s="172">
        <v>0</v>
      </c>
      <c r="AA8" s="172">
        <v>21</v>
      </c>
      <c r="AE8" t="e">
        <v>#N/A</v>
      </c>
      <c r="AF8" t="e">
        <v>#N/A</v>
      </c>
      <c r="AI8" s="190" t="e">
        <v>#N/A</v>
      </c>
      <c r="AJ8" s="190" t="e">
        <v>#N/A</v>
      </c>
      <c r="AL8" s="172" t="e">
        <v>#N/A</v>
      </c>
      <c r="AM8" s="172" t="e">
        <v>#N/A</v>
      </c>
      <c r="AN8" s="172" t="e">
        <v>#N/A</v>
      </c>
      <c r="AO8" s="172" t="e">
        <v>#N/A</v>
      </c>
      <c r="AP8" s="172" t="e">
        <v>#N/A</v>
      </c>
      <c r="AQ8" s="172" t="e">
        <v>#N/A</v>
      </c>
      <c r="AR8" s="172" t="e">
        <v>#N/A</v>
      </c>
      <c r="AS8" s="172" t="e">
        <v>#N/A</v>
      </c>
      <c r="AT8" s="172" t="e">
        <v>#N/A</v>
      </c>
      <c r="AU8" s="172" t="e">
        <v>#N/A</v>
      </c>
      <c r="AV8" s="172" t="e">
        <v>#N/A</v>
      </c>
      <c r="AW8" s="172"/>
    </row>
    <row r="9" spans="1:70" hidden="1" x14ac:dyDescent="0.25">
      <c r="A9" s="172">
        <v>71</v>
      </c>
      <c r="B9" s="187" t="s">
        <v>419</v>
      </c>
      <c r="C9" s="172">
        <v>2</v>
      </c>
      <c r="D9" s="172">
        <v>2</v>
      </c>
      <c r="E9" s="177" t="str">
        <f t="shared" si="0"/>
        <v>71-2</v>
      </c>
      <c r="F9" s="177" t="str">
        <f t="shared" si="1"/>
        <v>71-2</v>
      </c>
      <c r="G9" s="172" t="s">
        <v>420</v>
      </c>
      <c r="H9" s="172" t="s">
        <v>421</v>
      </c>
      <c r="I9" t="e">
        <v>#VALUE!</v>
      </c>
      <c r="J9" t="e">
        <v>#VALUE!</v>
      </c>
      <c r="K9" t="e">
        <v>#VALUE!</v>
      </c>
      <c r="L9" t="e">
        <v>#VALUE!</v>
      </c>
      <c r="M9" s="47">
        <v>0</v>
      </c>
      <c r="N9" s="47">
        <v>0</v>
      </c>
      <c r="O9" s="47">
        <v>0</v>
      </c>
      <c r="P9" s="47">
        <v>0</v>
      </c>
      <c r="Q9" s="188">
        <v>0</v>
      </c>
      <c r="R9" s="189" t="s">
        <v>422</v>
      </c>
      <c r="S9" s="172">
        <v>7</v>
      </c>
      <c r="T9" s="172">
        <v>52</v>
      </c>
      <c r="U9" s="172">
        <v>24</v>
      </c>
      <c r="V9" s="172">
        <v>8760</v>
      </c>
      <c r="W9" s="172">
        <v>0</v>
      </c>
      <c r="X9" s="172">
        <v>0</v>
      </c>
      <c r="Y9" s="172">
        <v>0</v>
      </c>
      <c r="Z9" s="172">
        <v>3008</v>
      </c>
      <c r="AA9" s="172">
        <v>17.8</v>
      </c>
      <c r="AE9" t="e">
        <v>#VALUE!</v>
      </c>
      <c r="AF9" t="e">
        <v>#VALUE!</v>
      </c>
      <c r="AI9" s="190" t="e">
        <v>#VALUE!</v>
      </c>
      <c r="AJ9" s="190" t="e">
        <v>#VALUE!</v>
      </c>
      <c r="AL9" s="172" t="e">
        <v>#VALUE!</v>
      </c>
      <c r="AM9" s="172" t="e">
        <v>#VALUE!</v>
      </c>
      <c r="AN9" s="172" t="e">
        <v>#VALUE!</v>
      </c>
      <c r="AO9" s="172" t="e">
        <v>#VALUE!</v>
      </c>
      <c r="AP9" s="172" t="e">
        <v>#VALUE!</v>
      </c>
      <c r="AQ9" s="172" t="e">
        <v>#VALUE!</v>
      </c>
      <c r="AR9" s="172" t="e">
        <v>#VALUE!</v>
      </c>
      <c r="AS9" s="172" t="e">
        <v>#VALUE!</v>
      </c>
      <c r="AT9" s="172" t="e">
        <v>#VALUE!</v>
      </c>
      <c r="AU9" s="172" t="e">
        <v>#VALUE!</v>
      </c>
      <c r="AV9" s="172" t="e">
        <v>#VALUE!</v>
      </c>
      <c r="AW9" s="172" t="e">
        <v>#VALUE!</v>
      </c>
    </row>
    <row r="10" spans="1:70" x14ac:dyDescent="0.25">
      <c r="A10" s="172"/>
      <c r="B10" s="187"/>
      <c r="E10" s="177"/>
      <c r="F10" s="177"/>
      <c r="I10"/>
      <c r="J10"/>
      <c r="K10"/>
      <c r="L10"/>
      <c r="M10" s="47"/>
      <c r="N10" s="47"/>
      <c r="O10" s="47"/>
      <c r="P10" s="47"/>
      <c r="Q10" s="188"/>
      <c r="R10" s="189"/>
      <c r="S10" s="172">
        <v>7</v>
      </c>
      <c r="T10" s="172">
        <v>52</v>
      </c>
      <c r="U10" s="172">
        <v>24</v>
      </c>
      <c r="V10" s="172">
        <v>8760</v>
      </c>
      <c r="Y10" s="172">
        <v>0</v>
      </c>
      <c r="AA10" s="172">
        <v>11</v>
      </c>
      <c r="AE10" t="e">
        <v>#N/A</v>
      </c>
      <c r="AF10" t="e">
        <v>#N/A</v>
      </c>
      <c r="AI10" s="190" t="e">
        <v>#N/A</v>
      </c>
      <c r="AJ10" s="190" t="e">
        <v>#N/A</v>
      </c>
      <c r="AL10" s="172" t="e">
        <v>#N/A</v>
      </c>
      <c r="AM10" s="172" t="e">
        <v>#N/A</v>
      </c>
      <c r="AN10" s="172" t="e">
        <v>#N/A</v>
      </c>
      <c r="AO10" s="172" t="e">
        <v>#N/A</v>
      </c>
      <c r="AP10" s="172" t="e">
        <v>#N/A</v>
      </c>
      <c r="AQ10" s="172" t="e">
        <v>#N/A</v>
      </c>
      <c r="AR10" s="172" t="e">
        <v>#N/A</v>
      </c>
      <c r="AS10" s="172" t="e">
        <v>#N/A</v>
      </c>
      <c r="AT10" s="172" t="e">
        <v>#N/A</v>
      </c>
      <c r="AU10" s="172" t="e">
        <v>#N/A</v>
      </c>
      <c r="AV10" s="172" t="e">
        <v>#N/A</v>
      </c>
      <c r="AW10" s="172"/>
    </row>
    <row r="11" spans="1:70" x14ac:dyDescent="0.25">
      <c r="A11" s="172"/>
      <c r="B11" s="187"/>
      <c r="E11" s="177"/>
      <c r="F11" s="177"/>
      <c r="I11"/>
      <c r="J11"/>
      <c r="K11"/>
      <c r="L11"/>
      <c r="M11" s="47"/>
      <c r="N11" s="47"/>
      <c r="O11" s="47"/>
      <c r="P11" s="47"/>
      <c r="Q11" s="188"/>
      <c r="R11" s="189"/>
      <c r="S11" s="172">
        <v>7</v>
      </c>
      <c r="T11" s="172">
        <v>52</v>
      </c>
      <c r="U11" s="172">
        <v>24</v>
      </c>
      <c r="V11" s="172">
        <v>8760</v>
      </c>
      <c r="Y11" s="172">
        <v>0</v>
      </c>
      <c r="AA11" s="172">
        <v>12.8</v>
      </c>
      <c r="AE11" t="e">
        <v>#N/A</v>
      </c>
      <c r="AF11" t="e">
        <v>#N/A</v>
      </c>
      <c r="AI11" s="190" t="e">
        <v>#N/A</v>
      </c>
      <c r="AJ11" s="190" t="e">
        <v>#N/A</v>
      </c>
      <c r="AL11" s="172" t="e">
        <v>#N/A</v>
      </c>
      <c r="AM11" s="172" t="e">
        <v>#N/A</v>
      </c>
      <c r="AN11" s="172" t="e">
        <v>#N/A</v>
      </c>
      <c r="AO11" s="172" t="e">
        <v>#N/A</v>
      </c>
      <c r="AP11" s="172" t="e">
        <v>#N/A</v>
      </c>
      <c r="AQ11" s="172" t="e">
        <v>#N/A</v>
      </c>
      <c r="AR11" s="172" t="e">
        <v>#N/A</v>
      </c>
      <c r="AS11" s="172" t="e">
        <v>#N/A</v>
      </c>
      <c r="AT11" s="172" t="e">
        <v>#N/A</v>
      </c>
      <c r="AU11" s="172" t="e">
        <v>#N/A</v>
      </c>
      <c r="AV11" s="172" t="e">
        <v>#N/A</v>
      </c>
      <c r="AW11" s="172"/>
    </row>
    <row r="12" spans="1:70" x14ac:dyDescent="0.25">
      <c r="A12" s="172"/>
      <c r="B12" s="187"/>
      <c r="E12" s="177"/>
      <c r="F12" s="177"/>
      <c r="I12"/>
      <c r="J12"/>
      <c r="K12"/>
      <c r="L12"/>
      <c r="M12" s="47"/>
      <c r="N12" s="47"/>
      <c r="O12" s="47"/>
      <c r="P12" s="47"/>
      <c r="Q12" s="188"/>
      <c r="R12" s="189"/>
      <c r="S12" s="172">
        <v>7</v>
      </c>
      <c r="T12" s="172">
        <v>40</v>
      </c>
      <c r="U12" s="172">
        <v>24</v>
      </c>
      <c r="V12" s="172">
        <v>6720</v>
      </c>
      <c r="Y12" s="172">
        <v>0</v>
      </c>
      <c r="AA12" s="172">
        <v>3.6</v>
      </c>
      <c r="AE12" t="e">
        <v>#N/A</v>
      </c>
      <c r="AF12" t="e">
        <v>#N/A</v>
      </c>
      <c r="AI12" s="190" t="e">
        <v>#N/A</v>
      </c>
      <c r="AJ12" s="190" t="e">
        <v>#N/A</v>
      </c>
      <c r="AL12" s="172" t="e">
        <v>#N/A</v>
      </c>
      <c r="AM12" s="172" t="e">
        <v>#N/A</v>
      </c>
      <c r="AN12" s="172" t="e">
        <v>#N/A</v>
      </c>
      <c r="AO12" s="172" t="e">
        <v>#N/A</v>
      </c>
      <c r="AP12" s="172" t="e">
        <v>#N/A</v>
      </c>
      <c r="AQ12" s="172" t="e">
        <v>#N/A</v>
      </c>
      <c r="AR12" s="172" t="e">
        <v>#N/A</v>
      </c>
      <c r="AS12" s="172" t="e">
        <v>#N/A</v>
      </c>
      <c r="AT12" s="172" t="e">
        <v>#N/A</v>
      </c>
      <c r="AU12" s="172" t="e">
        <v>#N/A</v>
      </c>
      <c r="AV12" s="172" t="e">
        <v>#N/A</v>
      </c>
      <c r="AW12" s="172"/>
    </row>
    <row r="13" spans="1:70" x14ac:dyDescent="0.25">
      <c r="A13" s="172"/>
      <c r="B13" s="187"/>
      <c r="E13" s="177"/>
      <c r="F13" s="177"/>
      <c r="I13"/>
      <c r="J13"/>
      <c r="K13"/>
      <c r="L13"/>
      <c r="M13" s="47"/>
      <c r="N13" s="47"/>
      <c r="O13" s="47"/>
      <c r="P13" s="47"/>
      <c r="Q13" s="188"/>
      <c r="R13" s="189"/>
      <c r="S13" s="172">
        <v>7</v>
      </c>
      <c r="T13" s="172">
        <v>26</v>
      </c>
      <c r="U13" s="172">
        <v>24</v>
      </c>
      <c r="V13" s="172">
        <v>4368</v>
      </c>
      <c r="Y13" s="172">
        <v>0</v>
      </c>
      <c r="AA13" s="172">
        <v>1.44</v>
      </c>
      <c r="AE13" t="e">
        <v>#N/A</v>
      </c>
      <c r="AF13" t="e">
        <v>#N/A</v>
      </c>
      <c r="AI13" s="190" t="e">
        <v>#N/A</v>
      </c>
      <c r="AJ13" s="190" t="e">
        <v>#N/A</v>
      </c>
      <c r="AL13" s="172" t="e">
        <v>#N/A</v>
      </c>
      <c r="AM13" s="172" t="e">
        <v>#N/A</v>
      </c>
      <c r="AN13" s="172" t="e">
        <v>#N/A</v>
      </c>
      <c r="AO13" s="172" t="e">
        <v>#N/A</v>
      </c>
      <c r="AP13" s="172" t="e">
        <v>#N/A</v>
      </c>
      <c r="AQ13" s="172" t="e">
        <v>#N/A</v>
      </c>
      <c r="AR13" s="172" t="e">
        <v>#N/A</v>
      </c>
      <c r="AS13" s="172" t="e">
        <v>#N/A</v>
      </c>
      <c r="AT13" s="172" t="e">
        <v>#N/A</v>
      </c>
      <c r="AU13" s="172" t="e">
        <v>#N/A</v>
      </c>
      <c r="AV13" s="172" t="e">
        <v>#N/A</v>
      </c>
      <c r="AW13" s="172"/>
    </row>
    <row r="14" spans="1:70" x14ac:dyDescent="0.25">
      <c r="A14" s="172"/>
      <c r="B14" s="187"/>
      <c r="E14" s="177"/>
      <c r="F14" s="177"/>
      <c r="I14"/>
      <c r="J14"/>
      <c r="K14"/>
      <c r="L14"/>
      <c r="M14" s="47"/>
      <c r="N14" s="47"/>
      <c r="O14" s="47"/>
      <c r="P14" s="47"/>
      <c r="Q14" s="188"/>
      <c r="R14" s="189"/>
      <c r="S14" s="172">
        <v>0</v>
      </c>
      <c r="T14" s="172">
        <v>0</v>
      </c>
      <c r="U14" s="172">
        <v>0</v>
      </c>
      <c r="V14" s="172">
        <v>0</v>
      </c>
      <c r="Y14" s="172">
        <v>0</v>
      </c>
      <c r="AA14" s="172">
        <v>0</v>
      </c>
      <c r="AE14" t="e">
        <v>#N/A</v>
      </c>
      <c r="AF14" t="e">
        <v>#N/A</v>
      </c>
      <c r="AI14" s="190" t="e">
        <v>#N/A</v>
      </c>
      <c r="AJ14" s="190" t="e">
        <v>#N/A</v>
      </c>
      <c r="AL14" s="172" t="e">
        <v>#N/A</v>
      </c>
      <c r="AM14" s="172" t="e">
        <v>#N/A</v>
      </c>
      <c r="AN14" s="172" t="e">
        <v>#N/A</v>
      </c>
      <c r="AO14" s="172" t="e">
        <v>#N/A</v>
      </c>
      <c r="AP14" s="172" t="e">
        <v>#N/A</v>
      </c>
      <c r="AQ14" s="172" t="e">
        <v>#N/A</v>
      </c>
      <c r="AR14" s="172" t="e">
        <v>#N/A</v>
      </c>
      <c r="AS14" s="172" t="e">
        <v>#N/A</v>
      </c>
      <c r="AT14" s="172" t="e">
        <v>#N/A</v>
      </c>
      <c r="AU14" s="172" t="e">
        <v>#N/A</v>
      </c>
      <c r="AV14" s="172" t="e">
        <v>#N/A</v>
      </c>
      <c r="AW14" s="172"/>
    </row>
    <row r="15" spans="1:70" x14ac:dyDescent="0.25">
      <c r="A15" s="172"/>
      <c r="B15" s="187"/>
      <c r="E15" s="177"/>
      <c r="F15" s="177"/>
      <c r="I15"/>
      <c r="J15"/>
      <c r="K15"/>
      <c r="L15"/>
      <c r="M15" s="47"/>
      <c r="N15" s="47"/>
      <c r="O15" s="47"/>
      <c r="P15" s="47"/>
      <c r="Q15" s="188"/>
      <c r="R15" s="189"/>
      <c r="S15" s="172">
        <v>7</v>
      </c>
      <c r="T15" s="172">
        <v>52</v>
      </c>
      <c r="U15" s="172">
        <v>24</v>
      </c>
      <c r="V15" s="172">
        <v>8760</v>
      </c>
      <c r="Y15" s="172">
        <v>0</v>
      </c>
      <c r="AA15" s="172">
        <v>154.9</v>
      </c>
      <c r="AE15" t="e">
        <v>#N/A</v>
      </c>
      <c r="AF15" t="e">
        <v>#N/A</v>
      </c>
      <c r="AI15" s="190" t="e">
        <v>#N/A</v>
      </c>
      <c r="AJ15" s="190" t="e">
        <v>#N/A</v>
      </c>
      <c r="AL15" s="172" t="e">
        <v>#N/A</v>
      </c>
      <c r="AM15" s="172" t="e">
        <v>#N/A</v>
      </c>
      <c r="AN15" s="172" t="e">
        <v>#N/A</v>
      </c>
      <c r="AO15" s="172" t="e">
        <v>#N/A</v>
      </c>
      <c r="AP15" s="172" t="e">
        <v>#N/A</v>
      </c>
      <c r="AQ15" s="172" t="e">
        <v>#N/A</v>
      </c>
      <c r="AR15" s="172" t="e">
        <v>#N/A</v>
      </c>
      <c r="AS15" s="172" t="e">
        <v>#N/A</v>
      </c>
      <c r="AT15" s="172" t="e">
        <v>#N/A</v>
      </c>
      <c r="AU15" s="172" t="e">
        <v>#N/A</v>
      </c>
      <c r="AV15" s="172" t="e">
        <v>#N/A</v>
      </c>
      <c r="AW15" s="172"/>
    </row>
    <row r="16" spans="1:70" hidden="1" x14ac:dyDescent="0.25">
      <c r="A16" s="172">
        <v>71</v>
      </c>
      <c r="B16" s="187" t="s">
        <v>419</v>
      </c>
      <c r="C16" s="172">
        <v>8</v>
      </c>
      <c r="D16" s="172">
        <v>8</v>
      </c>
      <c r="E16" s="177" t="str">
        <f t="shared" si="0"/>
        <v>71-8</v>
      </c>
      <c r="F16" s="177" t="str">
        <f t="shared" si="1"/>
        <v>71-8</v>
      </c>
      <c r="G16" s="172" t="s">
        <v>420</v>
      </c>
      <c r="H16" s="172" t="s">
        <v>421</v>
      </c>
      <c r="I16" t="e">
        <v>#VALUE!</v>
      </c>
      <c r="J16" t="e">
        <v>#VALUE!</v>
      </c>
      <c r="K16" t="e">
        <v>#VALUE!</v>
      </c>
      <c r="L16" t="e">
        <v>#VALUE!</v>
      </c>
      <c r="M16" s="47">
        <v>0</v>
      </c>
      <c r="N16" s="47">
        <v>0</v>
      </c>
      <c r="O16" s="47">
        <v>0</v>
      </c>
      <c r="P16" s="47">
        <v>0</v>
      </c>
      <c r="Q16" s="188">
        <v>0</v>
      </c>
      <c r="R16" s="189" t="s">
        <v>422</v>
      </c>
      <c r="S16" s="172">
        <v>7</v>
      </c>
      <c r="T16" s="172">
        <v>52</v>
      </c>
      <c r="U16" s="172">
        <v>24</v>
      </c>
      <c r="V16" s="172">
        <v>8760</v>
      </c>
      <c r="W16" s="172">
        <v>0</v>
      </c>
      <c r="X16" s="172">
        <v>0</v>
      </c>
      <c r="Y16" s="172">
        <v>0</v>
      </c>
      <c r="Z16" s="172">
        <v>2958</v>
      </c>
      <c r="AA16" s="172">
        <v>74.599999999999994</v>
      </c>
      <c r="AE16" t="e">
        <v>#VALUE!</v>
      </c>
      <c r="AF16" t="e">
        <v>#VALUE!</v>
      </c>
      <c r="AI16" s="190" t="e">
        <v>#VALUE!</v>
      </c>
      <c r="AJ16" s="190" t="e">
        <v>#VALUE!</v>
      </c>
      <c r="AL16" s="172" t="e">
        <v>#VALUE!</v>
      </c>
      <c r="AM16" s="172" t="e">
        <v>#VALUE!</v>
      </c>
      <c r="AN16" s="172" t="e">
        <v>#VALUE!</v>
      </c>
      <c r="AO16" s="172" t="e">
        <v>#VALUE!</v>
      </c>
      <c r="AP16" s="172" t="e">
        <v>#VALUE!</v>
      </c>
      <c r="AQ16" s="172" t="e">
        <v>#VALUE!</v>
      </c>
      <c r="AR16" s="172" t="e">
        <v>#VALUE!</v>
      </c>
      <c r="AS16" s="172" t="e">
        <v>#VALUE!</v>
      </c>
      <c r="AT16" s="172" t="e">
        <v>#VALUE!</v>
      </c>
      <c r="AU16" s="172" t="e">
        <v>#VALUE!</v>
      </c>
      <c r="AV16" s="172" t="e">
        <v>#VALUE!</v>
      </c>
      <c r="AW16" s="172" t="e">
        <v>#VALUE!</v>
      </c>
    </row>
    <row r="17" spans="1:70" x14ac:dyDescent="0.25">
      <c r="A17" s="172"/>
      <c r="B17" s="187"/>
      <c r="E17" s="177"/>
      <c r="F17" s="177"/>
      <c r="I17"/>
      <c r="J17"/>
      <c r="K17"/>
      <c r="L17"/>
      <c r="M17" s="47"/>
      <c r="N17" s="47"/>
      <c r="O17" s="47"/>
      <c r="P17" s="47"/>
      <c r="Q17" s="188"/>
      <c r="R17" s="189"/>
      <c r="S17" s="172">
        <v>7</v>
      </c>
      <c r="T17" s="172">
        <v>30</v>
      </c>
      <c r="U17" s="172">
        <v>24</v>
      </c>
      <c r="V17" s="172">
        <v>5040</v>
      </c>
      <c r="Y17" s="172">
        <v>0</v>
      </c>
      <c r="AA17" s="172">
        <v>13.4</v>
      </c>
      <c r="AE17" t="e">
        <v>#N/A</v>
      </c>
      <c r="AF17" t="e">
        <v>#N/A</v>
      </c>
      <c r="AI17" s="190" t="e">
        <v>#N/A</v>
      </c>
      <c r="AJ17" s="190" t="e">
        <v>#N/A</v>
      </c>
      <c r="AL17" s="172" t="e">
        <v>#N/A</v>
      </c>
      <c r="AM17" s="172" t="e">
        <v>#N/A</v>
      </c>
      <c r="AN17" s="172" t="e">
        <v>#N/A</v>
      </c>
      <c r="AO17" s="172" t="e">
        <v>#N/A</v>
      </c>
      <c r="AP17" s="172" t="e">
        <v>#N/A</v>
      </c>
      <c r="AQ17" s="172" t="e">
        <v>#N/A</v>
      </c>
      <c r="AR17" s="172" t="e">
        <v>#N/A</v>
      </c>
      <c r="AS17" s="172" t="e">
        <v>#N/A</v>
      </c>
      <c r="AT17" s="172" t="e">
        <v>#N/A</v>
      </c>
      <c r="AU17" s="172" t="e">
        <v>#N/A</v>
      </c>
      <c r="AV17" s="172" t="e">
        <v>#N/A</v>
      </c>
      <c r="AW17" s="172"/>
    </row>
    <row r="18" spans="1:70" hidden="1" x14ac:dyDescent="0.25">
      <c r="A18" s="172">
        <v>71</v>
      </c>
      <c r="B18" s="187" t="s">
        <v>419</v>
      </c>
      <c r="C18" s="172">
        <v>9</v>
      </c>
      <c r="D18" s="172">
        <v>9</v>
      </c>
      <c r="E18" s="177" t="str">
        <f t="shared" si="0"/>
        <v>71-9</v>
      </c>
      <c r="F18" s="177" t="str">
        <f t="shared" si="1"/>
        <v>71-9</v>
      </c>
      <c r="G18" s="172" t="s">
        <v>420</v>
      </c>
      <c r="H18" s="172" t="s">
        <v>421</v>
      </c>
      <c r="I18" t="e">
        <v>#VALUE!</v>
      </c>
      <c r="J18" t="e">
        <v>#VALUE!</v>
      </c>
      <c r="K18" t="e">
        <v>#VALUE!</v>
      </c>
      <c r="L18" t="e">
        <v>#VALUE!</v>
      </c>
      <c r="M18" s="47">
        <v>0</v>
      </c>
      <c r="N18" s="47">
        <v>0</v>
      </c>
      <c r="O18" s="47">
        <v>0</v>
      </c>
      <c r="P18" s="47">
        <v>0</v>
      </c>
      <c r="Q18" s="188">
        <v>0</v>
      </c>
      <c r="R18" s="189" t="s">
        <v>422</v>
      </c>
      <c r="S18" s="172">
        <v>7</v>
      </c>
      <c r="T18" s="172">
        <v>30</v>
      </c>
      <c r="U18" s="172">
        <v>24</v>
      </c>
      <c r="V18" s="172">
        <v>5040</v>
      </c>
      <c r="W18" s="172">
        <v>0</v>
      </c>
      <c r="X18" s="172">
        <v>0</v>
      </c>
      <c r="Y18" s="172">
        <v>0</v>
      </c>
      <c r="Z18" s="172">
        <v>3000</v>
      </c>
      <c r="AA18" s="172">
        <v>0.3</v>
      </c>
      <c r="AE18" t="e">
        <v>#VALUE!</v>
      </c>
      <c r="AF18" t="e">
        <v>#VALUE!</v>
      </c>
      <c r="AI18" s="190" t="e">
        <v>#VALUE!</v>
      </c>
      <c r="AJ18" s="190" t="e">
        <v>#VALUE!</v>
      </c>
      <c r="AL18" s="172" t="e">
        <v>#VALUE!</v>
      </c>
      <c r="AM18" s="172" t="e">
        <v>#VALUE!</v>
      </c>
      <c r="AN18" s="172" t="e">
        <v>#VALUE!</v>
      </c>
      <c r="AO18" s="172" t="e">
        <v>#VALUE!</v>
      </c>
      <c r="AP18" s="172" t="e">
        <v>#VALUE!</v>
      </c>
      <c r="AQ18" s="172" t="e">
        <v>#VALUE!</v>
      </c>
      <c r="AR18" s="172" t="e">
        <v>#VALUE!</v>
      </c>
      <c r="AS18" s="172" t="e">
        <v>#VALUE!</v>
      </c>
      <c r="AT18" s="172" t="e">
        <v>#VALUE!</v>
      </c>
      <c r="AU18" s="172" t="e">
        <v>#VALUE!</v>
      </c>
      <c r="AV18" s="172" t="e">
        <v>#VALUE!</v>
      </c>
      <c r="AW18" s="172" t="e">
        <v>#VALUE!</v>
      </c>
    </row>
    <row r="19" spans="1:70" x14ac:dyDescent="0.25">
      <c r="A19" s="172"/>
      <c r="B19" s="187"/>
      <c r="E19" s="177"/>
      <c r="F19" s="177"/>
      <c r="I19"/>
      <c r="J19"/>
      <c r="K19"/>
      <c r="L19"/>
      <c r="M19" s="47"/>
      <c r="N19" s="47"/>
      <c r="O19" s="47"/>
      <c r="P19" s="47"/>
      <c r="Q19" s="188"/>
      <c r="R19" s="189"/>
      <c r="S19" s="172">
        <v>7</v>
      </c>
      <c r="T19" s="172">
        <v>52</v>
      </c>
      <c r="U19" s="172">
        <v>24</v>
      </c>
      <c r="V19" s="172">
        <v>0</v>
      </c>
      <c r="Y19" s="172">
        <v>0</v>
      </c>
      <c r="AA19" s="172">
        <v>0</v>
      </c>
      <c r="AE19" t="e">
        <v>#N/A</v>
      </c>
      <c r="AF19" t="e">
        <v>#N/A</v>
      </c>
      <c r="AI19" s="190" t="e">
        <v>#N/A</v>
      </c>
      <c r="AJ19" s="190" t="e">
        <v>#N/A</v>
      </c>
      <c r="AL19" s="172" t="e">
        <v>#N/A</v>
      </c>
      <c r="AM19" s="172" t="e">
        <v>#N/A</v>
      </c>
      <c r="AN19" s="172" t="e">
        <v>#N/A</v>
      </c>
      <c r="AO19" s="172" t="e">
        <v>#N/A</v>
      </c>
      <c r="AP19" s="172" t="e">
        <v>#N/A</v>
      </c>
      <c r="AQ19" s="172" t="e">
        <v>#N/A</v>
      </c>
      <c r="AR19" s="172" t="e">
        <v>#N/A</v>
      </c>
      <c r="AS19" s="172" t="e">
        <v>#N/A</v>
      </c>
      <c r="AT19" s="172" t="e">
        <v>#N/A</v>
      </c>
      <c r="AU19" s="172" t="e">
        <v>#N/A</v>
      </c>
      <c r="AV19" s="172" t="e">
        <v>#N/A</v>
      </c>
      <c r="AW19" s="172"/>
    </row>
    <row r="20" spans="1:70" hidden="1" x14ac:dyDescent="0.25">
      <c r="A20" s="172">
        <v>71</v>
      </c>
      <c r="B20" s="187" t="s">
        <v>419</v>
      </c>
      <c r="C20" s="172">
        <v>10</v>
      </c>
      <c r="D20" s="172">
        <v>10</v>
      </c>
      <c r="E20" s="177" t="str">
        <f t="shared" si="0"/>
        <v>71-10</v>
      </c>
      <c r="F20" s="177" t="str">
        <f t="shared" si="1"/>
        <v>71-10</v>
      </c>
      <c r="G20" s="172" t="s">
        <v>420</v>
      </c>
      <c r="H20" s="172" t="s">
        <v>421</v>
      </c>
      <c r="I20" t="e">
        <v>#VALUE!</v>
      </c>
      <c r="J20" t="e">
        <v>#VALUE!</v>
      </c>
      <c r="K20" t="e">
        <v>#VALUE!</v>
      </c>
      <c r="L20" t="e">
        <v>#VALUE!</v>
      </c>
      <c r="M20" s="47">
        <v>0</v>
      </c>
      <c r="N20" s="47">
        <v>0</v>
      </c>
      <c r="O20" s="47">
        <v>0</v>
      </c>
      <c r="P20" s="47">
        <v>0</v>
      </c>
      <c r="Q20" s="188">
        <v>0</v>
      </c>
      <c r="R20" s="189" t="s">
        <v>422</v>
      </c>
      <c r="S20" s="172">
        <v>7</v>
      </c>
      <c r="T20" s="172">
        <v>52</v>
      </c>
      <c r="U20" s="172">
        <v>24</v>
      </c>
      <c r="V20" s="172">
        <v>8760</v>
      </c>
      <c r="W20" s="172">
        <v>0</v>
      </c>
      <c r="X20" s="172">
        <v>0</v>
      </c>
      <c r="Y20" s="172">
        <v>0</v>
      </c>
      <c r="Z20" s="172">
        <v>105.5</v>
      </c>
      <c r="AA20" s="172">
        <v>161.5</v>
      </c>
      <c r="AE20" t="e">
        <v>#VALUE!</v>
      </c>
      <c r="AF20" t="e">
        <v>#VALUE!</v>
      </c>
      <c r="AI20" s="190" t="e">
        <v>#VALUE!</v>
      </c>
      <c r="AJ20" s="190" t="e">
        <v>#VALUE!</v>
      </c>
      <c r="AL20" s="172" t="e">
        <v>#VALUE!</v>
      </c>
      <c r="AM20" s="172" t="e">
        <v>#VALUE!</v>
      </c>
      <c r="AN20" s="172" t="e">
        <v>#VALUE!</v>
      </c>
      <c r="AO20" s="172" t="e">
        <v>#VALUE!</v>
      </c>
      <c r="AP20" s="172" t="e">
        <v>#VALUE!</v>
      </c>
      <c r="AQ20" s="172" t="e">
        <v>#VALUE!</v>
      </c>
      <c r="AR20" s="172" t="e">
        <v>#VALUE!</v>
      </c>
      <c r="AS20" s="172" t="e">
        <v>#VALUE!</v>
      </c>
      <c r="AT20" s="172" t="e">
        <v>#VALUE!</v>
      </c>
      <c r="AU20" s="172" t="e">
        <v>#VALUE!</v>
      </c>
      <c r="AV20" s="172" t="e">
        <v>#VALUE!</v>
      </c>
      <c r="AW20" s="172" t="e">
        <v>#VALUE!</v>
      </c>
    </row>
    <row r="21" spans="1:70" x14ac:dyDescent="0.25">
      <c r="A21" s="172"/>
      <c r="B21" s="187"/>
      <c r="E21" s="177"/>
      <c r="F21" s="177"/>
      <c r="I21"/>
      <c r="J21"/>
      <c r="K21"/>
      <c r="L21"/>
      <c r="M21" s="47"/>
      <c r="N21" s="47"/>
      <c r="O21" s="47"/>
      <c r="P21" s="47"/>
      <c r="Q21" s="188"/>
      <c r="R21" s="189"/>
      <c r="S21" s="172">
        <v>7</v>
      </c>
      <c r="T21" s="172">
        <v>52</v>
      </c>
      <c r="U21" s="172">
        <v>24</v>
      </c>
      <c r="V21" s="172">
        <v>0</v>
      </c>
      <c r="Y21" s="172">
        <v>0</v>
      </c>
      <c r="AA21" s="172">
        <v>0</v>
      </c>
      <c r="AE21" t="e">
        <v>#N/A</v>
      </c>
      <c r="AF21" t="e">
        <v>#N/A</v>
      </c>
      <c r="AI21" s="190" t="e">
        <v>#N/A</v>
      </c>
      <c r="AJ21" s="190" t="e">
        <v>#N/A</v>
      </c>
      <c r="AL21" s="172" t="e">
        <v>#N/A</v>
      </c>
      <c r="AM21" s="172" t="e">
        <v>#N/A</v>
      </c>
      <c r="AN21" s="172" t="e">
        <v>#N/A</v>
      </c>
      <c r="AO21" s="172" t="e">
        <v>#N/A</v>
      </c>
      <c r="AP21" s="172" t="e">
        <v>#N/A</v>
      </c>
      <c r="AQ21" s="172" t="e">
        <v>#N/A</v>
      </c>
      <c r="AR21" s="172" t="e">
        <v>#N/A</v>
      </c>
      <c r="AS21" s="172" t="e">
        <v>#N/A</v>
      </c>
      <c r="AT21" s="172" t="e">
        <v>#N/A</v>
      </c>
      <c r="AU21" s="172" t="e">
        <v>#N/A</v>
      </c>
      <c r="AV21" s="172" t="e">
        <v>#N/A</v>
      </c>
      <c r="AW21" s="172"/>
    </row>
    <row r="22" spans="1:70" x14ac:dyDescent="0.25">
      <c r="A22" s="173"/>
      <c r="B22" s="192"/>
      <c r="C22" s="173"/>
      <c r="D22" s="173"/>
      <c r="E22" s="193"/>
      <c r="F22" s="193"/>
      <c r="G22" s="173"/>
      <c r="H22" s="173"/>
      <c r="I22" s="7"/>
      <c r="J22" s="7"/>
      <c r="K22" s="7"/>
      <c r="L22" s="7"/>
      <c r="M22" s="194"/>
      <c r="N22" s="194"/>
      <c r="O22" s="194"/>
      <c r="P22" s="194"/>
      <c r="Q22" s="195"/>
      <c r="R22" s="196"/>
      <c r="S22" s="173">
        <v>7</v>
      </c>
      <c r="T22" s="173">
        <v>52</v>
      </c>
      <c r="U22" s="173">
        <v>24</v>
      </c>
      <c r="V22" s="173">
        <v>8736</v>
      </c>
      <c r="W22" s="173"/>
      <c r="X22" s="173"/>
      <c r="Y22" s="173">
        <v>0</v>
      </c>
      <c r="Z22" s="173"/>
      <c r="AA22" s="173">
        <v>0.91</v>
      </c>
      <c r="AB22" s="173"/>
      <c r="AC22" s="173"/>
      <c r="AD22" s="7"/>
      <c r="AE22" s="7" t="e">
        <v>#N/A</v>
      </c>
      <c r="AF22" s="7" t="e">
        <v>#N/A</v>
      </c>
      <c r="AG22" s="7"/>
      <c r="AH22" s="7"/>
      <c r="AI22" s="197" t="e">
        <v>#N/A</v>
      </c>
      <c r="AJ22" s="197" t="e">
        <v>#N/A</v>
      </c>
      <c r="AK22" s="7"/>
      <c r="AL22" s="173" t="e">
        <v>#N/A</v>
      </c>
      <c r="AM22" s="173" t="e">
        <v>#N/A</v>
      </c>
      <c r="AN22" s="173" t="e">
        <v>#N/A</v>
      </c>
      <c r="AO22" s="173" t="e">
        <v>#N/A</v>
      </c>
      <c r="AP22" s="173" t="e">
        <v>#N/A</v>
      </c>
      <c r="AQ22" s="173" t="e">
        <v>#N/A</v>
      </c>
      <c r="AR22" s="173" t="e">
        <v>#N/A</v>
      </c>
      <c r="AS22" s="173" t="e">
        <v>#N/A</v>
      </c>
      <c r="AT22" s="173" t="e">
        <v>#N/A</v>
      </c>
      <c r="AU22" s="173" t="e">
        <v>#N/A</v>
      </c>
      <c r="AV22" s="173" t="e">
        <v>#N/A</v>
      </c>
      <c r="AW22" s="173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x14ac:dyDescent="0.25">
      <c r="A23" s="172">
        <v>109</v>
      </c>
      <c r="B23" t="s">
        <v>423</v>
      </c>
      <c r="C23" s="172">
        <v>1</v>
      </c>
      <c r="D23" s="172">
        <v>1</v>
      </c>
      <c r="E23" s="177" t="str">
        <f t="shared" si="0"/>
        <v>109-1</v>
      </c>
      <c r="F23" s="177" t="str">
        <f>A23&amp;"-"&amp;D23</f>
        <v>109-1</v>
      </c>
      <c r="G23" s="172" t="s">
        <v>424</v>
      </c>
      <c r="H23" s="172" t="s">
        <v>425</v>
      </c>
      <c r="I23" t="s">
        <v>426</v>
      </c>
      <c r="J23" t="s">
        <v>427</v>
      </c>
      <c r="K23">
        <v>268</v>
      </c>
      <c r="L23" t="s">
        <v>428</v>
      </c>
      <c r="M23" s="198"/>
      <c r="N23" s="198"/>
      <c r="O23" s="198"/>
      <c r="P23" s="198"/>
      <c r="Q23" s="199">
        <v>2341</v>
      </c>
      <c r="R23" s="189" t="s">
        <v>429</v>
      </c>
      <c r="S23" s="172">
        <v>1</v>
      </c>
      <c r="T23" s="172">
        <v>30</v>
      </c>
      <c r="U23" s="172">
        <v>1</v>
      </c>
      <c r="V23" s="172">
        <v>255</v>
      </c>
      <c r="X23" s="172">
        <v>9.7000000000000003E-2</v>
      </c>
      <c r="Z23" s="172">
        <v>0.133994</v>
      </c>
      <c r="AD23" t="s">
        <v>430</v>
      </c>
      <c r="AE23" t="e">
        <v>#VALUE!</v>
      </c>
      <c r="AF23" t="e">
        <v>#VALUE!</v>
      </c>
      <c r="AI23" s="190" t="e">
        <v>#VALUE!</v>
      </c>
      <c r="AJ23" s="190" t="e">
        <v>#VALUE!</v>
      </c>
      <c r="AL23" s="172" t="e">
        <v>#VALUE!</v>
      </c>
      <c r="AM23" s="172" t="e">
        <v>#VALUE!</v>
      </c>
      <c r="AN23" s="172" t="e">
        <v>#VALUE!</v>
      </c>
      <c r="AO23" s="172" t="e">
        <v>#VALUE!</v>
      </c>
      <c r="AP23" s="172" t="e">
        <v>#VALUE!</v>
      </c>
      <c r="AQ23" s="172" t="e">
        <v>#VALUE!</v>
      </c>
      <c r="AR23" s="172" t="e">
        <v>#VALUE!</v>
      </c>
      <c r="AS23" s="172" t="e">
        <v>#VALUE!</v>
      </c>
      <c r="AT23" s="172" t="e">
        <v>#VALUE!</v>
      </c>
      <c r="AU23" s="172" t="e">
        <v>#VALUE!</v>
      </c>
      <c r="AV23" s="172" t="e">
        <v>#VALUE!</v>
      </c>
      <c r="AW23" s="172">
        <v>20100109</v>
      </c>
      <c r="AX23" s="17">
        <f t="shared" ref="AX23:AX27" si="2">AY23</f>
        <v>1.607928E-3</v>
      </c>
      <c r="AY23" s="17">
        <f t="shared" ref="AY23:AY27" si="3">BM23*$Z23</f>
        <v>1.607928E-3</v>
      </c>
      <c r="AZ23" s="17">
        <f>2*X23/100*6.7</f>
        <v>1.2998000000000001E-2</v>
      </c>
      <c r="BA23" s="17">
        <f t="shared" ref="BA23:BC27" si="4">BO23*$Z23</f>
        <v>0.11791472</v>
      </c>
      <c r="BB23" s="17">
        <f t="shared" si="4"/>
        <v>5.4937539999999996E-5</v>
      </c>
      <c r="BC23" s="17">
        <f t="shared" si="4"/>
        <v>4.4218019999999999E-4</v>
      </c>
      <c r="BD23">
        <v>8.0000000000000004E-4</v>
      </c>
      <c r="BE23" s="33">
        <f t="shared" ref="BE23:BK34" si="5">$Q23*AX23/2000</f>
        <v>1.882079724E-3</v>
      </c>
      <c r="BF23" s="33">
        <f t="shared" si="5"/>
        <v>1.882079724E-3</v>
      </c>
      <c r="BG23" s="33">
        <f t="shared" si="5"/>
        <v>1.5214159E-2</v>
      </c>
      <c r="BH23" s="33">
        <f t="shared" si="5"/>
        <v>0.13801917976000003</v>
      </c>
      <c r="BI23" s="33">
        <f t="shared" si="5"/>
        <v>6.4304390569999993E-5</v>
      </c>
      <c r="BJ23" s="33">
        <f t="shared" si="5"/>
        <v>5.1757192409999995E-4</v>
      </c>
      <c r="BK23" s="33">
        <f t="shared" si="5"/>
        <v>9.3639999999999999E-4</v>
      </c>
      <c r="BL23" s="200">
        <f t="shared" ref="BL23:BL27" si="6">BM23</f>
        <v>1.2E-2</v>
      </c>
      <c r="BM23" s="200">
        <v>1.2E-2</v>
      </c>
      <c r="BN23" s="200">
        <f t="shared" ref="BN23:BR34" si="7">IFERROR(AZ23/$Z23,"-")</f>
        <v>9.7004343478066191E-2</v>
      </c>
      <c r="BO23" s="200">
        <v>0.88</v>
      </c>
      <c r="BP23" s="200">
        <v>4.0999999999999999E-4</v>
      </c>
      <c r="BQ23" s="200">
        <v>3.3E-3</v>
      </c>
      <c r="BR23" s="200">
        <f t="shared" si="7"/>
        <v>5.9704165858172759E-3</v>
      </c>
    </row>
    <row r="24" spans="1:70" x14ac:dyDescent="0.25">
      <c r="A24" s="172">
        <v>109</v>
      </c>
      <c r="B24" t="s">
        <v>423</v>
      </c>
      <c r="C24" s="172">
        <v>1</v>
      </c>
      <c r="D24" s="172">
        <v>1</v>
      </c>
      <c r="E24" s="177" t="str">
        <f t="shared" si="0"/>
        <v>109-1</v>
      </c>
      <c r="F24" s="177" t="str">
        <f>A24&amp;"-"&amp;D24</f>
        <v>109-1</v>
      </c>
      <c r="G24" s="172" t="s">
        <v>424</v>
      </c>
      <c r="H24" s="172" t="s">
        <v>431</v>
      </c>
      <c r="I24" t="s">
        <v>426</v>
      </c>
      <c r="J24" t="s">
        <v>427</v>
      </c>
      <c r="K24">
        <v>268</v>
      </c>
      <c r="L24" t="s">
        <v>428</v>
      </c>
      <c r="M24" s="198"/>
      <c r="N24" s="198"/>
      <c r="O24" s="198"/>
      <c r="P24" s="198"/>
      <c r="Q24" s="199">
        <v>104236</v>
      </c>
      <c r="R24" s="189" t="s">
        <v>429</v>
      </c>
      <c r="X24" s="172">
        <v>0.379</v>
      </c>
      <c r="Z24" s="172">
        <v>0.137575</v>
      </c>
      <c r="AD24" s="201" t="s">
        <v>432</v>
      </c>
      <c r="AI24" s="190"/>
      <c r="AJ24" s="190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>
        <v>20100109</v>
      </c>
      <c r="AX24" s="17">
        <f t="shared" si="2"/>
        <v>1.6509000000000001E-3</v>
      </c>
      <c r="AY24" s="17">
        <f t="shared" si="3"/>
        <v>1.6509000000000001E-3</v>
      </c>
      <c r="AZ24" s="202">
        <v>1.2998000000000001E-2</v>
      </c>
      <c r="BA24" s="17">
        <f t="shared" si="4"/>
        <v>0.12106600000000001</v>
      </c>
      <c r="BB24" s="17">
        <f t="shared" si="4"/>
        <v>5.6405749999999998E-5</v>
      </c>
      <c r="BC24" s="17">
        <f t="shared" si="4"/>
        <v>4.5399749999999999E-4</v>
      </c>
      <c r="BD24">
        <v>8.0000000000000004E-4</v>
      </c>
      <c r="BE24" s="33">
        <f t="shared" si="5"/>
        <v>8.6041606200000009E-2</v>
      </c>
      <c r="BF24" s="33">
        <f t="shared" si="5"/>
        <v>8.6041606200000009E-2</v>
      </c>
      <c r="BG24" s="33">
        <f t="shared" si="5"/>
        <v>0.6774297640000001</v>
      </c>
      <c r="BH24" s="33">
        <f t="shared" si="5"/>
        <v>6.3097177879999995</v>
      </c>
      <c r="BI24" s="33">
        <f t="shared" si="5"/>
        <v>2.9397548784999999E-3</v>
      </c>
      <c r="BJ24" s="33">
        <f t="shared" si="5"/>
        <v>2.3661441704999998E-2</v>
      </c>
      <c r="BK24" s="33">
        <f t="shared" si="5"/>
        <v>4.16944E-2</v>
      </c>
      <c r="BL24" s="200">
        <f t="shared" si="6"/>
        <v>1.2E-2</v>
      </c>
      <c r="BM24" s="200">
        <v>1.2E-2</v>
      </c>
      <c r="BN24" s="200">
        <f t="shared" si="7"/>
        <v>9.4479374886425591E-2</v>
      </c>
      <c r="BO24" s="200">
        <v>0.88</v>
      </c>
      <c r="BP24" s="200">
        <v>4.0999999999999999E-4</v>
      </c>
      <c r="BQ24" s="200">
        <v>3.3E-3</v>
      </c>
      <c r="BR24" s="200">
        <f t="shared" si="7"/>
        <v>5.8150099945484283E-3</v>
      </c>
    </row>
    <row r="25" spans="1:70" x14ac:dyDescent="0.25">
      <c r="A25" s="172">
        <v>109</v>
      </c>
      <c r="B25" t="s">
        <v>423</v>
      </c>
      <c r="C25" s="172">
        <v>2</v>
      </c>
      <c r="D25" s="172">
        <v>2</v>
      </c>
      <c r="E25" s="177" t="str">
        <f t="shared" si="0"/>
        <v>109-2</v>
      </c>
      <c r="F25" s="177" t="str">
        <f t="shared" ref="F25:F43" si="8">A25&amp;"-"&amp;D25</f>
        <v>109-2</v>
      </c>
      <c r="G25" s="172" t="s">
        <v>424</v>
      </c>
      <c r="H25" s="172" t="s">
        <v>425</v>
      </c>
      <c r="I25" t="s">
        <v>426</v>
      </c>
      <c r="J25" t="s">
        <v>427</v>
      </c>
      <c r="K25">
        <v>268</v>
      </c>
      <c r="L25" t="s">
        <v>428</v>
      </c>
      <c r="M25" s="198"/>
      <c r="N25" s="198"/>
      <c r="O25" s="198"/>
      <c r="P25" s="198"/>
      <c r="Q25" s="199">
        <v>15924</v>
      </c>
      <c r="R25" s="189" t="s">
        <v>429</v>
      </c>
      <c r="S25" s="172">
        <v>2</v>
      </c>
      <c r="T25" s="172">
        <v>40</v>
      </c>
      <c r="U25" s="172">
        <v>3</v>
      </c>
      <c r="V25" s="172">
        <v>937</v>
      </c>
      <c r="X25" s="172">
        <v>9.7000000000000003E-2</v>
      </c>
      <c r="Z25" s="172">
        <v>0.133994</v>
      </c>
      <c r="AD25" t="s">
        <v>430</v>
      </c>
      <c r="AE25" t="e">
        <v>#VALUE!</v>
      </c>
      <c r="AF25" t="e">
        <v>#VALUE!</v>
      </c>
      <c r="AI25" s="190" t="e">
        <v>#VALUE!</v>
      </c>
      <c r="AJ25" s="190" t="e">
        <v>#VALUE!</v>
      </c>
      <c r="AL25" s="172" t="e">
        <v>#VALUE!</v>
      </c>
      <c r="AM25" s="172" t="e">
        <v>#VALUE!</v>
      </c>
      <c r="AN25" s="172" t="e">
        <v>#VALUE!</v>
      </c>
      <c r="AO25" s="172" t="e">
        <v>#VALUE!</v>
      </c>
      <c r="AP25" s="172" t="e">
        <v>#VALUE!</v>
      </c>
      <c r="AQ25" s="172" t="e">
        <v>#VALUE!</v>
      </c>
      <c r="AR25" s="172" t="e">
        <v>#VALUE!</v>
      </c>
      <c r="AS25" s="172" t="e">
        <v>#VALUE!</v>
      </c>
      <c r="AT25" s="172" t="e">
        <v>#VALUE!</v>
      </c>
      <c r="AU25" s="172" t="e">
        <v>#VALUE!</v>
      </c>
      <c r="AV25" s="172" t="e">
        <v>#VALUE!</v>
      </c>
      <c r="AW25" s="172">
        <v>20100109</v>
      </c>
      <c r="AX25" s="17">
        <f t="shared" si="2"/>
        <v>1.607928E-3</v>
      </c>
      <c r="AY25" s="17">
        <f t="shared" si="3"/>
        <v>1.607928E-3</v>
      </c>
      <c r="AZ25" s="17">
        <f>2*X25/100*6.7</f>
        <v>1.2998000000000001E-2</v>
      </c>
      <c r="BA25" s="17">
        <f t="shared" si="4"/>
        <v>0.11791472</v>
      </c>
      <c r="BB25" s="17">
        <f t="shared" si="4"/>
        <v>5.4937539999999996E-5</v>
      </c>
      <c r="BC25" s="17">
        <f t="shared" si="4"/>
        <v>4.4218019999999999E-4</v>
      </c>
      <c r="BD25">
        <v>8.0000000000000004E-4</v>
      </c>
      <c r="BE25" s="33">
        <f t="shared" si="5"/>
        <v>1.2802322736E-2</v>
      </c>
      <c r="BF25" s="33">
        <f t="shared" si="5"/>
        <v>1.2802322736E-2</v>
      </c>
      <c r="BG25" s="33">
        <f t="shared" si="5"/>
        <v>0.103490076</v>
      </c>
      <c r="BH25" s="33">
        <f t="shared" si="5"/>
        <v>0.93883700064000009</v>
      </c>
      <c r="BI25" s="33">
        <f t="shared" si="5"/>
        <v>4.3741269347999997E-4</v>
      </c>
      <c r="BJ25" s="33">
        <f t="shared" si="5"/>
        <v>3.5206387523999999E-3</v>
      </c>
      <c r="BK25" s="33">
        <f t="shared" si="5"/>
        <v>6.3696000000000004E-3</v>
      </c>
      <c r="BL25" s="200">
        <f t="shared" si="6"/>
        <v>1.2E-2</v>
      </c>
      <c r="BM25" s="200">
        <v>1.2E-2</v>
      </c>
      <c r="BN25" s="200">
        <f t="shared" si="7"/>
        <v>9.7004343478066191E-2</v>
      </c>
      <c r="BO25" s="200">
        <v>0.88</v>
      </c>
      <c r="BP25" s="200">
        <v>4.0999999999999999E-4</v>
      </c>
      <c r="BQ25" s="200">
        <v>3.3E-3</v>
      </c>
      <c r="BR25" s="200">
        <f t="shared" si="7"/>
        <v>5.9704165858172759E-3</v>
      </c>
    </row>
    <row r="26" spans="1:70" x14ac:dyDescent="0.25">
      <c r="A26" s="172">
        <v>109</v>
      </c>
      <c r="B26" t="s">
        <v>423</v>
      </c>
      <c r="C26" s="172">
        <v>2</v>
      </c>
      <c r="D26" s="172">
        <v>2</v>
      </c>
      <c r="E26" s="177" t="str">
        <f t="shared" si="0"/>
        <v>109-2</v>
      </c>
      <c r="F26" s="177" t="str">
        <f t="shared" si="8"/>
        <v>109-2</v>
      </c>
      <c r="G26" s="172" t="s">
        <v>424</v>
      </c>
      <c r="H26" s="172" t="s">
        <v>431</v>
      </c>
      <c r="I26" t="s">
        <v>426</v>
      </c>
      <c r="J26" t="s">
        <v>427</v>
      </c>
      <c r="K26">
        <v>268</v>
      </c>
      <c r="L26" t="s">
        <v>428</v>
      </c>
      <c r="M26" s="198"/>
      <c r="N26" s="198"/>
      <c r="O26" s="198"/>
      <c r="P26" s="198"/>
      <c r="Q26" s="199">
        <v>1083541</v>
      </c>
      <c r="R26" s="189" t="s">
        <v>429</v>
      </c>
      <c r="X26" s="172">
        <v>0.379</v>
      </c>
      <c r="Z26" s="172">
        <v>0.137575</v>
      </c>
      <c r="AD26" s="201" t="s">
        <v>432</v>
      </c>
      <c r="AI26" s="190"/>
      <c r="AJ26" s="190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>
        <v>20100109</v>
      </c>
      <c r="AX26" s="17">
        <f t="shared" si="2"/>
        <v>1.6509000000000001E-3</v>
      </c>
      <c r="AY26" s="17">
        <f t="shared" si="3"/>
        <v>1.6509000000000001E-3</v>
      </c>
      <c r="AZ26" s="202">
        <v>1.2998000000000001E-2</v>
      </c>
      <c r="BA26" s="17">
        <f t="shared" si="4"/>
        <v>0.12106600000000001</v>
      </c>
      <c r="BB26" s="17">
        <f t="shared" si="4"/>
        <v>5.6405749999999998E-5</v>
      </c>
      <c r="BC26" s="17">
        <f t="shared" si="4"/>
        <v>4.5399749999999999E-4</v>
      </c>
      <c r="BD26">
        <v>8.0000000000000004E-4</v>
      </c>
      <c r="BE26" s="33">
        <f t="shared" si="5"/>
        <v>0.89440891845000003</v>
      </c>
      <c r="BF26" s="33">
        <f t="shared" si="5"/>
        <v>0.89440891845000003</v>
      </c>
      <c r="BG26" s="33">
        <f t="shared" si="5"/>
        <v>7.0419329590000004</v>
      </c>
      <c r="BH26" s="33">
        <f t="shared" si="5"/>
        <v>65.589987352999998</v>
      </c>
      <c r="BI26" s="33">
        <f t="shared" si="5"/>
        <v>3.0558971380375E-2</v>
      </c>
      <c r="BJ26" s="33">
        <f t="shared" si="5"/>
        <v>0.24596245257374999</v>
      </c>
      <c r="BK26" s="33">
        <f t="shared" si="5"/>
        <v>0.43341640000000003</v>
      </c>
      <c r="BL26" s="200">
        <f t="shared" si="6"/>
        <v>1.2E-2</v>
      </c>
      <c r="BM26" s="200">
        <v>1.2E-2</v>
      </c>
      <c r="BN26" s="200">
        <f t="shared" si="7"/>
        <v>9.4479374886425591E-2</v>
      </c>
      <c r="BO26" s="200">
        <v>0.88</v>
      </c>
      <c r="BP26" s="200">
        <v>4.0999999999999999E-4</v>
      </c>
      <c r="BQ26" s="200">
        <v>3.3E-3</v>
      </c>
      <c r="BR26" s="200">
        <f t="shared" si="7"/>
        <v>5.8150099945484283E-3</v>
      </c>
    </row>
    <row r="27" spans="1:70" x14ac:dyDescent="0.25">
      <c r="A27" s="172">
        <v>109</v>
      </c>
      <c r="B27" t="s">
        <v>423</v>
      </c>
      <c r="C27" s="172">
        <v>3</v>
      </c>
      <c r="D27" s="172">
        <v>3</v>
      </c>
      <c r="E27" s="177" t="str">
        <f t="shared" si="0"/>
        <v>109-3</v>
      </c>
      <c r="F27" s="177" t="str">
        <f t="shared" si="8"/>
        <v>109-3</v>
      </c>
      <c r="G27" s="172" t="s">
        <v>424</v>
      </c>
      <c r="H27" s="172" t="s">
        <v>431</v>
      </c>
      <c r="I27" t="s">
        <v>433</v>
      </c>
      <c r="J27" t="s">
        <v>427</v>
      </c>
      <c r="K27">
        <v>28</v>
      </c>
      <c r="L27" t="s">
        <v>428</v>
      </c>
      <c r="M27" s="198"/>
      <c r="N27" s="198"/>
      <c r="O27" s="198"/>
      <c r="P27" s="198"/>
      <c r="Q27" s="199">
        <v>306</v>
      </c>
      <c r="R27" s="189" t="s">
        <v>429</v>
      </c>
      <c r="S27" s="172">
        <v>1</v>
      </c>
      <c r="T27" s="172">
        <v>3</v>
      </c>
      <c r="U27" s="172">
        <v>1</v>
      </c>
      <c r="V27" s="172">
        <v>3</v>
      </c>
      <c r="X27" s="172">
        <v>0.379</v>
      </c>
      <c r="Z27" s="172">
        <v>0.137575</v>
      </c>
      <c r="AD27" s="201" t="s">
        <v>432</v>
      </c>
      <c r="AE27" t="e">
        <v>#VALUE!</v>
      </c>
      <c r="AF27" s="73" t="e">
        <v>#VALUE!</v>
      </c>
      <c r="AH27" s="172"/>
      <c r="AI27" s="203" t="e">
        <v>#VALUE!</v>
      </c>
      <c r="AJ27" s="203" t="e">
        <v>#VALUE!</v>
      </c>
      <c r="AK27" s="172"/>
      <c r="AL27" s="172" t="e">
        <v>#VALUE!</v>
      </c>
      <c r="AM27" s="172" t="e">
        <v>#VALUE!</v>
      </c>
      <c r="AN27" s="172" t="e">
        <v>#VALUE!</v>
      </c>
      <c r="AO27" s="172" t="e">
        <v>#VALUE!</v>
      </c>
      <c r="AP27" s="172" t="e">
        <v>#VALUE!</v>
      </c>
      <c r="AQ27" s="172" t="e">
        <v>#VALUE!</v>
      </c>
      <c r="AR27" s="172" t="e">
        <v>#VALUE!</v>
      </c>
      <c r="AS27" s="172" t="e">
        <v>#VALUE!</v>
      </c>
      <c r="AT27" s="172" t="e">
        <v>#VALUE!</v>
      </c>
      <c r="AU27" s="172" t="e">
        <v>#VALUE!</v>
      </c>
      <c r="AV27" s="172" t="e">
        <v>#VALUE!</v>
      </c>
      <c r="AW27" s="172">
        <v>20100907</v>
      </c>
      <c r="AX27" s="17">
        <f t="shared" si="2"/>
        <v>1.3757500000000001E-2</v>
      </c>
      <c r="AY27" s="17">
        <f t="shared" si="3"/>
        <v>1.3757500000000001E-2</v>
      </c>
      <c r="AZ27" s="202">
        <v>1.2998000000000001E-2</v>
      </c>
      <c r="BA27" s="17">
        <f t="shared" si="4"/>
        <v>0.44024000000000002</v>
      </c>
      <c r="BB27" s="17">
        <f t="shared" si="4"/>
        <v>1.1006E-2</v>
      </c>
      <c r="BC27" s="17">
        <f t="shared" si="4"/>
        <v>0.11693874999999999</v>
      </c>
      <c r="BD27">
        <v>8.0000000000000004E-4</v>
      </c>
      <c r="BE27" s="33">
        <f t="shared" si="5"/>
        <v>2.1048975000000003E-3</v>
      </c>
      <c r="BF27" s="33">
        <f t="shared" si="5"/>
        <v>2.1048975000000003E-3</v>
      </c>
      <c r="BG27" s="33">
        <f t="shared" si="5"/>
        <v>1.9886940000000001E-3</v>
      </c>
      <c r="BH27" s="33">
        <f t="shared" si="5"/>
        <v>6.7356720000000009E-2</v>
      </c>
      <c r="BI27" s="33">
        <f t="shared" si="5"/>
        <v>1.683918E-3</v>
      </c>
      <c r="BJ27" s="33">
        <f t="shared" si="5"/>
        <v>1.7891628749999999E-2</v>
      </c>
      <c r="BK27" s="33">
        <f t="shared" si="5"/>
        <v>1.2240000000000002E-4</v>
      </c>
      <c r="BL27" s="200">
        <f t="shared" si="6"/>
        <v>0.1</v>
      </c>
      <c r="BM27" s="200">
        <v>0.1</v>
      </c>
      <c r="BN27" s="200">
        <f t="shared" si="7"/>
        <v>9.4479374886425591E-2</v>
      </c>
      <c r="BO27" s="200">
        <v>3.2</v>
      </c>
      <c r="BP27" s="200">
        <v>0.08</v>
      </c>
      <c r="BQ27" s="200">
        <v>0.85</v>
      </c>
      <c r="BR27" s="200">
        <f t="shared" si="7"/>
        <v>5.8150099945484283E-3</v>
      </c>
    </row>
    <row r="28" spans="1:70" x14ac:dyDescent="0.25">
      <c r="A28" s="173">
        <v>109</v>
      </c>
      <c r="B28" s="7" t="s">
        <v>423</v>
      </c>
      <c r="C28" s="173">
        <v>4</v>
      </c>
      <c r="D28" s="173">
        <v>4</v>
      </c>
      <c r="E28" s="193" t="str">
        <f t="shared" si="0"/>
        <v>109-4</v>
      </c>
      <c r="F28" s="193" t="str">
        <f t="shared" si="8"/>
        <v>109-4</v>
      </c>
      <c r="G28" s="173" t="s">
        <v>424</v>
      </c>
      <c r="H28" s="173" t="s">
        <v>431</v>
      </c>
      <c r="I28" s="7" t="s">
        <v>433</v>
      </c>
      <c r="J28" s="7" t="s">
        <v>427</v>
      </c>
      <c r="K28" s="7">
        <v>28</v>
      </c>
      <c r="L28" s="7" t="s">
        <v>428</v>
      </c>
      <c r="M28" s="204"/>
      <c r="N28" s="204"/>
      <c r="O28" s="204"/>
      <c r="P28" s="204"/>
      <c r="Q28" s="195"/>
      <c r="R28" s="196" t="s">
        <v>429</v>
      </c>
      <c r="S28" s="173">
        <v>1</v>
      </c>
      <c r="T28" s="173">
        <v>3</v>
      </c>
      <c r="U28" s="173">
        <v>0</v>
      </c>
      <c r="V28" s="173">
        <v>2</v>
      </c>
      <c r="W28" s="173"/>
      <c r="X28" s="173"/>
      <c r="Y28" s="173"/>
      <c r="Z28" s="173"/>
      <c r="AA28" s="173"/>
      <c r="AB28" s="173"/>
      <c r="AC28" s="173"/>
      <c r="AD28" s="7"/>
      <c r="AE28" s="7" t="e">
        <v>#VALUE!</v>
      </c>
      <c r="AF28" s="205" t="e">
        <v>#VALUE!</v>
      </c>
      <c r="AG28" s="7"/>
      <c r="AH28" s="173"/>
      <c r="AI28" s="206" t="e">
        <v>#VALUE!</v>
      </c>
      <c r="AJ28" s="206" t="e">
        <v>#VALUE!</v>
      </c>
      <c r="AK28" s="173"/>
      <c r="AL28" s="173" t="e">
        <v>#VALUE!</v>
      </c>
      <c r="AM28" s="173" t="e">
        <v>#VALUE!</v>
      </c>
      <c r="AN28" s="173" t="e">
        <v>#VALUE!</v>
      </c>
      <c r="AO28" s="173" t="e">
        <v>#VALUE!</v>
      </c>
      <c r="AP28" s="173" t="e">
        <v>#VALUE!</v>
      </c>
      <c r="AQ28" s="173" t="e">
        <v>#VALUE!</v>
      </c>
      <c r="AR28" s="173" t="e">
        <v>#VALUE!</v>
      </c>
      <c r="AS28" s="173" t="e">
        <v>#VALUE!</v>
      </c>
      <c r="AT28" s="173" t="e">
        <v>#VALUE!</v>
      </c>
      <c r="AU28" s="173" t="e">
        <v>#VALUE!</v>
      </c>
      <c r="AV28" s="173" t="e">
        <v>#VALUE!</v>
      </c>
      <c r="AW28" s="173">
        <v>20100907</v>
      </c>
      <c r="AX28" s="207"/>
      <c r="AY28" s="207"/>
      <c r="AZ28" s="207"/>
      <c r="BA28" s="207"/>
      <c r="BB28" s="207"/>
      <c r="BC28" s="208"/>
      <c r="BD28" s="209"/>
      <c r="BE28" s="210"/>
      <c r="BF28" s="210"/>
      <c r="BG28" s="210"/>
      <c r="BH28" s="210"/>
      <c r="BI28" s="210"/>
      <c r="BJ28" s="210"/>
      <c r="BK28" s="210"/>
      <c r="BL28" s="211"/>
      <c r="BM28" s="211"/>
      <c r="BN28" s="211"/>
      <c r="BO28" s="211"/>
      <c r="BP28" s="211"/>
      <c r="BQ28" s="211"/>
      <c r="BR28" s="211"/>
    </row>
    <row r="29" spans="1:70" x14ac:dyDescent="0.25">
      <c r="A29" s="172">
        <v>110</v>
      </c>
      <c r="B29" t="s">
        <v>434</v>
      </c>
      <c r="C29" s="172">
        <v>1</v>
      </c>
      <c r="D29" s="172" t="s">
        <v>435</v>
      </c>
      <c r="E29" s="177" t="str">
        <f t="shared" si="0"/>
        <v>110-1</v>
      </c>
      <c r="F29" s="177" t="str">
        <f t="shared" si="8"/>
        <v>110-1a</v>
      </c>
      <c r="G29" s="172" t="s">
        <v>424</v>
      </c>
      <c r="H29" s="172" t="s">
        <v>425</v>
      </c>
      <c r="I29" t="s">
        <v>426</v>
      </c>
      <c r="J29" t="s">
        <v>427</v>
      </c>
      <c r="K29">
        <v>672</v>
      </c>
      <c r="L29" t="s">
        <v>428</v>
      </c>
      <c r="M29" s="198"/>
      <c r="N29" s="198"/>
      <c r="O29" s="198"/>
      <c r="P29" s="198"/>
      <c r="Q29" s="199">
        <v>373269</v>
      </c>
      <c r="R29" s="189" t="s">
        <v>429</v>
      </c>
      <c r="S29" s="172">
        <v>1</v>
      </c>
      <c r="T29" s="172">
        <v>25</v>
      </c>
      <c r="U29" s="172">
        <v>2</v>
      </c>
      <c r="V29" s="172">
        <v>600</v>
      </c>
      <c r="X29" s="172">
        <v>9.7000000000000003E-2</v>
      </c>
      <c r="Z29" s="172">
        <v>0.133994</v>
      </c>
      <c r="AD29" t="s">
        <v>430</v>
      </c>
      <c r="AE29" t="e">
        <v>#VALUE!</v>
      </c>
      <c r="AF29" s="73" t="e">
        <v>#VALUE!</v>
      </c>
      <c r="AH29" s="172"/>
      <c r="AI29" s="203" t="e">
        <v>#VALUE!</v>
      </c>
      <c r="AJ29" s="203" t="e">
        <v>#VALUE!</v>
      </c>
      <c r="AK29" s="172"/>
      <c r="AL29" s="172" t="e">
        <v>#VALUE!</v>
      </c>
      <c r="AM29" s="172" t="e">
        <v>#VALUE!</v>
      </c>
      <c r="AN29" s="172" t="e">
        <v>#VALUE!</v>
      </c>
      <c r="AO29" s="172" t="e">
        <v>#VALUE!</v>
      </c>
      <c r="AP29" s="172" t="e">
        <v>#VALUE!</v>
      </c>
      <c r="AQ29" s="172" t="e">
        <v>#VALUE!</v>
      </c>
      <c r="AR29" s="172" t="e">
        <v>#VALUE!</v>
      </c>
      <c r="AS29" s="172" t="e">
        <v>#VALUE!</v>
      </c>
      <c r="AT29" s="172" t="e">
        <v>#VALUE!</v>
      </c>
      <c r="AU29" s="172" t="e">
        <v>#VALUE!</v>
      </c>
      <c r="AV29" s="172" t="e">
        <v>#VALUE!</v>
      </c>
      <c r="AW29" s="172">
        <v>20100109</v>
      </c>
      <c r="AX29" s="17">
        <f>AY29</f>
        <v>1.607928E-3</v>
      </c>
      <c r="AY29" s="17">
        <f>BM29*$Z29</f>
        <v>1.607928E-3</v>
      </c>
      <c r="AZ29" s="17">
        <f>2*X29/100*6.8</f>
        <v>1.3192000000000001E-2</v>
      </c>
      <c r="BA29" s="17">
        <f>BO29*$Z29</f>
        <v>0.11791472</v>
      </c>
      <c r="BB29" s="17">
        <f>BP29*$Z29</f>
        <v>5.4937539999999996E-5</v>
      </c>
      <c r="BC29" s="17">
        <f>BQ29*$Z29</f>
        <v>4.4218019999999999E-4</v>
      </c>
      <c r="BD29" s="17">
        <v>8.0000000000000004E-4</v>
      </c>
      <c r="BE29" s="33">
        <f t="shared" si="5"/>
        <v>0.30009483831599998</v>
      </c>
      <c r="BF29" s="33">
        <f t="shared" si="5"/>
        <v>0.30009483831599998</v>
      </c>
      <c r="BG29" s="33">
        <f t="shared" si="5"/>
        <v>2.4620823239999998</v>
      </c>
      <c r="BH29" s="33">
        <f t="shared" si="5"/>
        <v>22.00695480984</v>
      </c>
      <c r="BI29" s="33">
        <f t="shared" si="5"/>
        <v>1.025324030913E-2</v>
      </c>
      <c r="BJ29" s="33">
        <f t="shared" si="5"/>
        <v>8.2526080536899998E-2</v>
      </c>
      <c r="BK29" s="33">
        <f t="shared" si="5"/>
        <v>0.14930760000000001</v>
      </c>
      <c r="BL29" s="200">
        <f>BM29</f>
        <v>1.2E-2</v>
      </c>
      <c r="BM29" s="200">
        <v>1.2E-2</v>
      </c>
      <c r="BN29" s="200">
        <f t="shared" si="7"/>
        <v>9.8452169500126877E-2</v>
      </c>
      <c r="BO29" s="200">
        <v>0.88</v>
      </c>
      <c r="BP29" s="200">
        <v>4.0999999999999999E-4</v>
      </c>
      <c r="BQ29" s="200">
        <v>3.3E-3</v>
      </c>
      <c r="BR29" s="200">
        <f t="shared" si="7"/>
        <v>5.9704165858172759E-3</v>
      </c>
    </row>
    <row r="30" spans="1:70" x14ac:dyDescent="0.25">
      <c r="A30" s="172">
        <v>110</v>
      </c>
      <c r="B30" t="s">
        <v>434</v>
      </c>
      <c r="C30" s="172">
        <v>1</v>
      </c>
      <c r="D30" s="172" t="s">
        <v>435</v>
      </c>
      <c r="E30" s="177" t="str">
        <f t="shared" si="0"/>
        <v>110-1</v>
      </c>
      <c r="F30" s="177" t="str">
        <f t="shared" si="8"/>
        <v>110-1a</v>
      </c>
      <c r="G30" s="172" t="s">
        <v>424</v>
      </c>
      <c r="H30" s="172" t="s">
        <v>431</v>
      </c>
      <c r="I30" t="s">
        <v>426</v>
      </c>
      <c r="J30" t="s">
        <v>427</v>
      </c>
      <c r="K30">
        <v>672</v>
      </c>
      <c r="L30" t="s">
        <v>428</v>
      </c>
      <c r="M30" s="198"/>
      <c r="N30" s="198"/>
      <c r="O30" s="198"/>
      <c r="P30" s="198"/>
      <c r="Q30" s="199">
        <v>1279961</v>
      </c>
      <c r="R30" s="189" t="s">
        <v>429</v>
      </c>
      <c r="X30" s="172">
        <v>0.379</v>
      </c>
      <c r="Z30" s="172">
        <v>0.137575</v>
      </c>
      <c r="AD30" s="201" t="s">
        <v>432</v>
      </c>
      <c r="AF30" s="73"/>
      <c r="AH30" s="172"/>
      <c r="AI30" s="203"/>
      <c r="AJ30" s="203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>
        <v>20100109</v>
      </c>
      <c r="AX30" s="17">
        <f t="shared" ref="AX30:AX34" si="9">AY30</f>
        <v>1.6509000000000001E-3</v>
      </c>
      <c r="AY30" s="17">
        <f t="shared" ref="AY30:BC34" si="10">BM30*$Z30</f>
        <v>1.6509000000000001E-3</v>
      </c>
      <c r="AZ30" s="202">
        <v>1.3192000000000001E-2</v>
      </c>
      <c r="BA30" s="17">
        <f t="shared" si="10"/>
        <v>0.12106600000000001</v>
      </c>
      <c r="BB30" s="17">
        <f t="shared" si="10"/>
        <v>5.6405749999999998E-5</v>
      </c>
      <c r="BC30" s="17">
        <f t="shared" si="10"/>
        <v>4.5399749999999999E-4</v>
      </c>
      <c r="BD30" s="17">
        <v>8.0000000000000004E-4</v>
      </c>
      <c r="BE30" s="33">
        <f t="shared" si="5"/>
        <v>1.05654380745</v>
      </c>
      <c r="BF30" s="33">
        <f t="shared" si="5"/>
        <v>1.05654380745</v>
      </c>
      <c r="BG30" s="33">
        <f t="shared" si="5"/>
        <v>8.4426227560000005</v>
      </c>
      <c r="BH30" s="33">
        <f t="shared" si="5"/>
        <v>77.479879213000004</v>
      </c>
      <c r="BI30" s="33">
        <f t="shared" si="5"/>
        <v>3.6098580087874997E-2</v>
      </c>
      <c r="BJ30" s="33">
        <f t="shared" si="5"/>
        <v>0.29054954704875002</v>
      </c>
      <c r="BK30" s="33">
        <f t="shared" si="5"/>
        <v>0.51198440000000001</v>
      </c>
      <c r="BL30" s="200">
        <f t="shared" ref="BL30:BL34" si="11">BM30</f>
        <v>1.2E-2</v>
      </c>
      <c r="BM30" s="200">
        <v>1.2E-2</v>
      </c>
      <c r="BN30" s="200">
        <f t="shared" si="7"/>
        <v>9.5889514810103577E-2</v>
      </c>
      <c r="BO30" s="200">
        <v>0.88</v>
      </c>
      <c r="BP30" s="200">
        <v>4.0999999999999999E-4</v>
      </c>
      <c r="BQ30" s="200">
        <v>3.3E-3</v>
      </c>
      <c r="BR30" s="200">
        <f t="shared" si="7"/>
        <v>5.8150099945484283E-3</v>
      </c>
    </row>
    <row r="31" spans="1:70" x14ac:dyDescent="0.25">
      <c r="A31" s="172">
        <v>110</v>
      </c>
      <c r="B31" t="s">
        <v>434</v>
      </c>
      <c r="C31" s="172">
        <v>2</v>
      </c>
      <c r="D31" s="172" t="s">
        <v>436</v>
      </c>
      <c r="E31" s="177" t="str">
        <f t="shared" si="0"/>
        <v>110-2</v>
      </c>
      <c r="F31" s="177" t="str">
        <f t="shared" si="8"/>
        <v>110-2a</v>
      </c>
      <c r="G31" s="172" t="s">
        <v>424</v>
      </c>
      <c r="H31" s="172" t="s">
        <v>425</v>
      </c>
      <c r="I31" t="s">
        <v>426</v>
      </c>
      <c r="J31" t="s">
        <v>427</v>
      </c>
      <c r="K31">
        <v>672</v>
      </c>
      <c r="L31" t="s">
        <v>428</v>
      </c>
      <c r="M31" s="198"/>
      <c r="N31" s="198"/>
      <c r="O31" s="198"/>
      <c r="P31" s="198"/>
      <c r="Q31" s="199">
        <v>1010284</v>
      </c>
      <c r="R31" s="189" t="s">
        <v>429</v>
      </c>
      <c r="S31" s="172">
        <v>1</v>
      </c>
      <c r="T31" s="172">
        <v>18</v>
      </c>
      <c r="U31" s="172">
        <v>1</v>
      </c>
      <c r="V31" s="172">
        <v>506</v>
      </c>
      <c r="X31" s="172">
        <v>9.7000000000000003E-2</v>
      </c>
      <c r="Z31" s="172">
        <v>0.133994</v>
      </c>
      <c r="AD31" t="s">
        <v>430</v>
      </c>
      <c r="AE31" t="e">
        <v>#VALUE!</v>
      </c>
      <c r="AF31" s="73" t="e">
        <v>#VALUE!</v>
      </c>
      <c r="AH31" s="172"/>
      <c r="AI31" s="203" t="e">
        <v>#VALUE!</v>
      </c>
      <c r="AJ31" s="203" t="e">
        <v>#VALUE!</v>
      </c>
      <c r="AK31" s="172"/>
      <c r="AL31" s="172" t="e">
        <v>#VALUE!</v>
      </c>
      <c r="AM31" s="172" t="e">
        <v>#VALUE!</v>
      </c>
      <c r="AN31" s="172" t="e">
        <v>#VALUE!</v>
      </c>
      <c r="AO31" s="172" t="e">
        <v>#VALUE!</v>
      </c>
      <c r="AP31" s="172" t="e">
        <v>#VALUE!</v>
      </c>
      <c r="AQ31" s="172" t="e">
        <v>#VALUE!</v>
      </c>
      <c r="AR31" s="172" t="e">
        <v>#VALUE!</v>
      </c>
      <c r="AS31" s="172" t="e">
        <v>#VALUE!</v>
      </c>
      <c r="AT31" s="172" t="e">
        <v>#VALUE!</v>
      </c>
      <c r="AU31" s="172" t="e">
        <v>#VALUE!</v>
      </c>
      <c r="AV31" s="172" t="e">
        <v>#VALUE!</v>
      </c>
      <c r="AW31" s="172">
        <v>20100109</v>
      </c>
      <c r="AX31" s="17">
        <f t="shared" si="9"/>
        <v>1.607928E-3</v>
      </c>
      <c r="AY31" s="17">
        <f t="shared" si="10"/>
        <v>1.607928E-3</v>
      </c>
      <c r="AZ31" s="17">
        <f>2*X31/100*6.8</f>
        <v>1.3192000000000001E-2</v>
      </c>
      <c r="BA31" s="17">
        <f t="shared" si="10"/>
        <v>0.11791472</v>
      </c>
      <c r="BB31" s="17">
        <f t="shared" si="10"/>
        <v>5.4937539999999996E-5</v>
      </c>
      <c r="BC31" s="17">
        <f t="shared" si="10"/>
        <v>4.4218019999999999E-4</v>
      </c>
      <c r="BD31" s="17">
        <v>8.0000000000000004E-4</v>
      </c>
      <c r="BE31" s="33">
        <f t="shared" si="5"/>
        <v>0.81223196577599999</v>
      </c>
      <c r="BF31" s="33">
        <f t="shared" si="5"/>
        <v>0.81223196577599999</v>
      </c>
      <c r="BG31" s="33">
        <f t="shared" si="5"/>
        <v>6.663833264</v>
      </c>
      <c r="BH31" s="33">
        <f t="shared" si="5"/>
        <v>59.563677490239996</v>
      </c>
      <c r="BI31" s="33">
        <f t="shared" si="5"/>
        <v>2.7751258830679998E-2</v>
      </c>
      <c r="BJ31" s="33">
        <f t="shared" si="5"/>
        <v>0.22336379058839997</v>
      </c>
      <c r="BK31" s="33">
        <f t="shared" si="5"/>
        <v>0.40411360000000002</v>
      </c>
      <c r="BL31" s="200">
        <f t="shared" si="11"/>
        <v>1.2E-2</v>
      </c>
      <c r="BM31" s="200">
        <v>1.2E-2</v>
      </c>
      <c r="BN31" s="200">
        <f t="shared" si="7"/>
        <v>9.8452169500126877E-2</v>
      </c>
      <c r="BO31" s="200">
        <v>0.88</v>
      </c>
      <c r="BP31" s="200">
        <v>4.0999999999999999E-4</v>
      </c>
      <c r="BQ31" s="200">
        <v>3.3E-3</v>
      </c>
      <c r="BR31" s="200">
        <f t="shared" si="7"/>
        <v>5.9704165858172759E-3</v>
      </c>
    </row>
    <row r="32" spans="1:70" x14ac:dyDescent="0.25">
      <c r="A32" s="172">
        <v>110</v>
      </c>
      <c r="B32" t="s">
        <v>434</v>
      </c>
      <c r="C32" s="172">
        <v>2</v>
      </c>
      <c r="D32" s="172" t="s">
        <v>436</v>
      </c>
      <c r="E32" s="177" t="str">
        <f t="shared" si="0"/>
        <v>110-2</v>
      </c>
      <c r="F32" s="177" t="str">
        <f t="shared" si="8"/>
        <v>110-2a</v>
      </c>
      <c r="G32" s="172" t="s">
        <v>424</v>
      </c>
      <c r="H32" s="172" t="s">
        <v>431</v>
      </c>
      <c r="I32" t="s">
        <v>426</v>
      </c>
      <c r="J32" t="s">
        <v>427</v>
      </c>
      <c r="K32">
        <v>672</v>
      </c>
      <c r="L32" t="s">
        <v>428</v>
      </c>
      <c r="M32" s="198"/>
      <c r="N32" s="198"/>
      <c r="O32" s="198"/>
      <c r="P32" s="198"/>
      <c r="Q32" s="199">
        <v>6655802</v>
      </c>
      <c r="R32" s="189" t="s">
        <v>429</v>
      </c>
      <c r="X32" s="172">
        <v>0.379</v>
      </c>
      <c r="Z32" s="172">
        <v>0.137575</v>
      </c>
      <c r="AD32" s="201" t="s">
        <v>432</v>
      </c>
      <c r="AF32" s="73"/>
      <c r="AH32" s="172"/>
      <c r="AI32" s="203"/>
      <c r="AJ32" s="203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>
        <v>20100109</v>
      </c>
      <c r="AX32" s="17">
        <f t="shared" si="9"/>
        <v>1.6509000000000001E-3</v>
      </c>
      <c r="AY32" s="17">
        <f t="shared" si="10"/>
        <v>1.6509000000000001E-3</v>
      </c>
      <c r="AZ32" s="202">
        <v>1.3192000000000001E-2</v>
      </c>
      <c r="BA32" s="17">
        <f t="shared" si="10"/>
        <v>0.12106600000000001</v>
      </c>
      <c r="BB32" s="17">
        <f t="shared" si="10"/>
        <v>5.6405749999999998E-5</v>
      </c>
      <c r="BC32" s="17">
        <f t="shared" si="10"/>
        <v>4.5399749999999999E-4</v>
      </c>
      <c r="BD32" s="17">
        <v>8.0000000000000004E-4</v>
      </c>
      <c r="BE32" s="33">
        <f t="shared" si="5"/>
        <v>5.4940317609000004</v>
      </c>
      <c r="BF32" s="33">
        <f t="shared" si="5"/>
        <v>5.4940317609000004</v>
      </c>
      <c r="BG32" s="33">
        <f t="shared" si="5"/>
        <v>43.901669992000002</v>
      </c>
      <c r="BH32" s="33">
        <f t="shared" si="5"/>
        <v>402.89566246600003</v>
      </c>
      <c r="BI32" s="33">
        <f t="shared" si="5"/>
        <v>0.18771275183075001</v>
      </c>
      <c r="BJ32" s="33">
        <f t="shared" si="5"/>
        <v>1.5108587342474999</v>
      </c>
      <c r="BK32" s="33">
        <f t="shared" si="5"/>
        <v>2.6623207999999998</v>
      </c>
      <c r="BL32" s="200">
        <f t="shared" si="11"/>
        <v>1.2E-2</v>
      </c>
      <c r="BM32" s="200">
        <v>1.2E-2</v>
      </c>
      <c r="BN32" s="200">
        <f t="shared" si="7"/>
        <v>9.5889514810103577E-2</v>
      </c>
      <c r="BO32" s="200">
        <v>0.88</v>
      </c>
      <c r="BP32" s="200">
        <v>4.0999999999999999E-4</v>
      </c>
      <c r="BQ32" s="200">
        <v>3.3E-3</v>
      </c>
      <c r="BR32" s="200">
        <f t="shared" si="7"/>
        <v>5.8150099945484283E-3</v>
      </c>
    </row>
    <row r="33" spans="1:70" x14ac:dyDescent="0.25">
      <c r="A33" s="172">
        <v>110</v>
      </c>
      <c r="B33" t="s">
        <v>434</v>
      </c>
      <c r="C33" s="172">
        <v>5</v>
      </c>
      <c r="D33" s="172">
        <v>5</v>
      </c>
      <c r="E33" s="177" t="str">
        <f t="shared" si="0"/>
        <v>110-5</v>
      </c>
      <c r="F33" s="177" t="str">
        <f t="shared" si="8"/>
        <v>110-5</v>
      </c>
      <c r="G33" s="172" t="s">
        <v>424</v>
      </c>
      <c r="H33" s="172" t="s">
        <v>425</v>
      </c>
      <c r="I33" t="s">
        <v>426</v>
      </c>
      <c r="J33" t="s">
        <v>427</v>
      </c>
      <c r="K33">
        <v>455</v>
      </c>
      <c r="L33" t="s">
        <v>428</v>
      </c>
      <c r="M33" s="198"/>
      <c r="N33" s="198"/>
      <c r="O33" s="198"/>
      <c r="P33" s="198"/>
      <c r="Q33" s="199">
        <v>1211881</v>
      </c>
      <c r="R33" s="189" t="s">
        <v>429</v>
      </c>
      <c r="S33" s="172">
        <v>7</v>
      </c>
      <c r="T33" s="172">
        <v>52</v>
      </c>
      <c r="U33" s="172">
        <v>24</v>
      </c>
      <c r="V33" s="172">
        <v>8580</v>
      </c>
      <c r="X33" s="172">
        <v>9.7000000000000003E-2</v>
      </c>
      <c r="Z33" s="172">
        <v>0.133994</v>
      </c>
      <c r="AD33" t="s">
        <v>430</v>
      </c>
      <c r="AE33" t="e">
        <v>#VALUE!</v>
      </c>
      <c r="AF33" t="e">
        <v>#VALUE!</v>
      </c>
      <c r="AI33" s="190" t="e">
        <v>#VALUE!</v>
      </c>
      <c r="AJ33" s="190" t="e">
        <v>#VALUE!</v>
      </c>
      <c r="AL33" s="172" t="e">
        <v>#VALUE!</v>
      </c>
      <c r="AM33" s="172" t="e">
        <v>#VALUE!</v>
      </c>
      <c r="AN33" s="172" t="e">
        <v>#VALUE!</v>
      </c>
      <c r="AO33" s="172" t="e">
        <v>#VALUE!</v>
      </c>
      <c r="AP33" s="172" t="e">
        <v>#VALUE!</v>
      </c>
      <c r="AQ33" s="172" t="e">
        <v>#VALUE!</v>
      </c>
      <c r="AR33" s="172" t="e">
        <v>#VALUE!</v>
      </c>
      <c r="AS33" s="172" t="e">
        <v>#VALUE!</v>
      </c>
      <c r="AT33" s="172" t="e">
        <v>#VALUE!</v>
      </c>
      <c r="AU33" s="172" t="e">
        <v>#VALUE!</v>
      </c>
      <c r="AV33" s="172" t="e">
        <v>#VALUE!</v>
      </c>
      <c r="AW33" s="172">
        <v>20100909</v>
      </c>
      <c r="AX33" s="17">
        <f t="shared" si="9"/>
        <v>1.607928E-3</v>
      </c>
      <c r="AY33" s="17">
        <f t="shared" si="10"/>
        <v>1.607928E-3</v>
      </c>
      <c r="AZ33" s="17">
        <f>2*X33/100*6.8</f>
        <v>1.3192000000000001E-2</v>
      </c>
      <c r="BA33" s="17">
        <f t="shared" si="10"/>
        <v>3.2158560000000003E-2</v>
      </c>
      <c r="BB33" s="17">
        <f t="shared" si="10"/>
        <v>5.4937539999999996E-5</v>
      </c>
      <c r="BC33" s="17">
        <f t="shared" si="10"/>
        <v>1.0183543999999999E-2</v>
      </c>
      <c r="BD33" s="17">
        <v>8.0000000000000004E-4</v>
      </c>
      <c r="BE33" s="33">
        <f t="shared" si="5"/>
        <v>0.97430869628399996</v>
      </c>
      <c r="BF33" s="33">
        <f t="shared" si="5"/>
        <v>0.97430869628399996</v>
      </c>
      <c r="BG33" s="33">
        <f t="shared" si="5"/>
        <v>7.9935670760000006</v>
      </c>
      <c r="BH33" s="33">
        <f t="shared" si="5"/>
        <v>19.486173925680003</v>
      </c>
      <c r="BI33" s="33">
        <f t="shared" si="5"/>
        <v>3.3288880456369997E-2</v>
      </c>
      <c r="BJ33" s="33">
        <f t="shared" si="5"/>
        <v>6.1706217431319992</v>
      </c>
      <c r="BK33" s="33">
        <f t="shared" si="5"/>
        <v>0.48475240000000003</v>
      </c>
      <c r="BL33" s="200">
        <f t="shared" si="11"/>
        <v>1.2E-2</v>
      </c>
      <c r="BM33" s="200">
        <v>1.2E-2</v>
      </c>
      <c r="BN33" s="200">
        <f t="shared" si="7"/>
        <v>9.8452169500126877E-2</v>
      </c>
      <c r="BO33" s="200">
        <v>0.24</v>
      </c>
      <c r="BP33" s="200">
        <v>4.0999999999999999E-4</v>
      </c>
      <c r="BQ33" s="200">
        <v>7.5999999999999998E-2</v>
      </c>
      <c r="BR33" s="200">
        <f t="shared" si="7"/>
        <v>5.9704165858172759E-3</v>
      </c>
    </row>
    <row r="34" spans="1:70" x14ac:dyDescent="0.25">
      <c r="A34" s="172">
        <v>110</v>
      </c>
      <c r="B34" t="s">
        <v>434</v>
      </c>
      <c r="C34" s="172">
        <v>5</v>
      </c>
      <c r="D34" s="172">
        <v>5</v>
      </c>
      <c r="E34" s="177" t="str">
        <f t="shared" si="0"/>
        <v>110-5</v>
      </c>
      <c r="F34" s="177" t="str">
        <f t="shared" si="8"/>
        <v>110-5</v>
      </c>
      <c r="G34" s="172" t="s">
        <v>424</v>
      </c>
      <c r="H34" s="172" t="s">
        <v>437</v>
      </c>
      <c r="I34" t="s">
        <v>426</v>
      </c>
      <c r="J34" t="s">
        <v>427</v>
      </c>
      <c r="K34">
        <v>455</v>
      </c>
      <c r="L34" t="s">
        <v>428</v>
      </c>
      <c r="M34" s="198"/>
      <c r="N34" s="198"/>
      <c r="O34" s="198"/>
      <c r="P34" s="198"/>
      <c r="Q34" s="199">
        <v>21162658</v>
      </c>
      <c r="R34" s="189" t="s">
        <v>429</v>
      </c>
      <c r="X34" s="172">
        <v>2.3999999999999998E-3</v>
      </c>
      <c r="Z34" s="172">
        <v>0.120626</v>
      </c>
      <c r="AD34" t="s">
        <v>437</v>
      </c>
      <c r="AI34" s="190"/>
      <c r="AJ34" s="190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>
        <v>20100909</v>
      </c>
      <c r="AX34" s="17">
        <f t="shared" si="9"/>
        <v>1.447512E-3</v>
      </c>
      <c r="AY34" s="17">
        <f t="shared" si="10"/>
        <v>1.447512E-3</v>
      </c>
      <c r="AZ34" s="24">
        <f>2*X34/100*6.1</f>
        <v>2.9279999999999996E-4</v>
      </c>
      <c r="BA34" s="17">
        <f t="shared" si="10"/>
        <v>2.8950239999999999E-2</v>
      </c>
      <c r="BB34" s="17">
        <f t="shared" si="10"/>
        <v>0</v>
      </c>
      <c r="BC34" s="17">
        <f t="shared" si="10"/>
        <v>9.1675760000000002E-3</v>
      </c>
      <c r="BD34" s="17">
        <v>8.0000000000000004E-4</v>
      </c>
      <c r="BE34" s="33">
        <f t="shared" si="5"/>
        <v>15.316600703448</v>
      </c>
      <c r="BF34" s="33">
        <f t="shared" si="5"/>
        <v>15.316600703448</v>
      </c>
      <c r="BG34" s="33">
        <f t="shared" si="5"/>
        <v>3.0982131311999996</v>
      </c>
      <c r="BH34" s="33">
        <f t="shared" si="5"/>
        <v>306.33201406896001</v>
      </c>
      <c r="BI34" s="33">
        <f t="shared" si="5"/>
        <v>0</v>
      </c>
      <c r="BJ34" s="33">
        <f t="shared" si="5"/>
        <v>97.005137788504001</v>
      </c>
      <c r="BK34" s="33">
        <f t="shared" si="5"/>
        <v>8.4650632000000012</v>
      </c>
      <c r="BL34" s="200">
        <f t="shared" si="11"/>
        <v>1.2E-2</v>
      </c>
      <c r="BM34" s="200">
        <v>1.2E-2</v>
      </c>
      <c r="BN34" s="200">
        <f t="shared" si="7"/>
        <v>2.4273373899490985E-3</v>
      </c>
      <c r="BO34" s="200">
        <v>0.24</v>
      </c>
      <c r="BP34" s="200"/>
      <c r="BQ34" s="200">
        <v>7.5999999999999998E-2</v>
      </c>
      <c r="BR34" s="200">
        <f t="shared" si="7"/>
        <v>6.632069371445626E-3</v>
      </c>
    </row>
    <row r="35" spans="1:70" x14ac:dyDescent="0.25">
      <c r="A35" s="172">
        <v>110</v>
      </c>
      <c r="B35" t="s">
        <v>434</v>
      </c>
      <c r="C35" s="172">
        <v>7</v>
      </c>
      <c r="D35" s="172">
        <v>7</v>
      </c>
      <c r="E35" s="177" t="str">
        <f t="shared" si="0"/>
        <v>110-7</v>
      </c>
      <c r="F35" s="177" t="str">
        <f t="shared" si="8"/>
        <v>110-7</v>
      </c>
      <c r="G35" s="172" t="s">
        <v>424</v>
      </c>
      <c r="H35" s="172" t="s">
        <v>438</v>
      </c>
      <c r="I35" t="s">
        <v>433</v>
      </c>
      <c r="J35" t="s">
        <v>439</v>
      </c>
      <c r="K35">
        <v>400</v>
      </c>
      <c r="L35" t="s">
        <v>440</v>
      </c>
      <c r="M35" s="198"/>
      <c r="N35" s="198"/>
      <c r="O35" s="198"/>
      <c r="P35" s="198"/>
      <c r="Q35" s="199">
        <v>0</v>
      </c>
      <c r="R35" s="189" t="s">
        <v>429</v>
      </c>
      <c r="S35" s="172">
        <v>7</v>
      </c>
      <c r="T35" s="172">
        <v>52</v>
      </c>
      <c r="U35" s="172">
        <v>24</v>
      </c>
      <c r="V35" s="172">
        <v>8736</v>
      </c>
      <c r="X35" s="172">
        <v>9.7000000000000003E-2</v>
      </c>
      <c r="Z35" s="172">
        <v>0.120626</v>
      </c>
      <c r="AD35" t="s">
        <v>441</v>
      </c>
      <c r="AE35" t="e">
        <v>#VALUE!</v>
      </c>
      <c r="AF35" s="73" t="e">
        <v>#VALUE!</v>
      </c>
      <c r="AH35" s="172"/>
      <c r="AI35" s="203" t="e">
        <v>#VALUE!</v>
      </c>
      <c r="AJ35" s="203" t="e">
        <v>#VALUE!</v>
      </c>
      <c r="AK35" s="172"/>
      <c r="AL35" s="172" t="e">
        <v>#VALUE!</v>
      </c>
      <c r="AM35" s="172" t="e">
        <v>#VALUE!</v>
      </c>
      <c r="AN35" s="172" t="e">
        <v>#VALUE!</v>
      </c>
      <c r="AO35" s="172" t="e">
        <v>#VALUE!</v>
      </c>
      <c r="AP35" s="172" t="e">
        <v>#VALUE!</v>
      </c>
      <c r="AQ35" s="172" t="e">
        <v>#VALUE!</v>
      </c>
      <c r="AR35" s="172" t="e">
        <v>#VALUE!</v>
      </c>
      <c r="AS35" s="172" t="e">
        <v>#VALUE!</v>
      </c>
      <c r="AT35" s="172" t="e">
        <v>#VALUE!</v>
      </c>
      <c r="AU35" s="172" t="e">
        <v>#VALUE!</v>
      </c>
      <c r="AV35" s="172" t="e">
        <v>#VALUE!</v>
      </c>
      <c r="AW35" s="172">
        <v>20100907</v>
      </c>
      <c r="BE35" s="33"/>
      <c r="BF35" s="33"/>
      <c r="BG35" s="33"/>
      <c r="BH35" s="33"/>
    </row>
    <row r="36" spans="1:70" x14ac:dyDescent="0.25">
      <c r="A36" s="172">
        <v>110</v>
      </c>
      <c r="B36" t="s">
        <v>434</v>
      </c>
      <c r="C36" s="172">
        <v>11</v>
      </c>
      <c r="D36" s="172">
        <v>11</v>
      </c>
      <c r="E36" s="177" t="str">
        <f t="shared" si="0"/>
        <v>110-11</v>
      </c>
      <c r="F36" s="177" t="str">
        <f t="shared" si="8"/>
        <v>110-11</v>
      </c>
      <c r="G36" s="172" t="s">
        <v>424</v>
      </c>
      <c r="H36" s="172" t="s">
        <v>421</v>
      </c>
      <c r="I36" t="s">
        <v>442</v>
      </c>
      <c r="J36" t="s">
        <v>443</v>
      </c>
      <c r="K36">
        <v>5</v>
      </c>
      <c r="L36" t="s">
        <v>428</v>
      </c>
      <c r="M36" s="198"/>
      <c r="N36" s="198"/>
      <c r="O36" s="198"/>
      <c r="P36" s="198"/>
      <c r="Q36" s="199">
        <v>3.7</v>
      </c>
      <c r="R36" s="189" t="s">
        <v>429</v>
      </c>
      <c r="S36" s="172">
        <v>7</v>
      </c>
      <c r="T36" s="172">
        <v>52</v>
      </c>
      <c r="U36" s="172">
        <v>24</v>
      </c>
      <c r="V36" s="172">
        <v>8736</v>
      </c>
      <c r="X36" s="172">
        <v>0.12</v>
      </c>
      <c r="Z36" s="172">
        <v>91.6</v>
      </c>
      <c r="AD36" t="s">
        <v>444</v>
      </c>
      <c r="AE36" t="e">
        <v>#VALUE!</v>
      </c>
      <c r="AF36" s="73" t="e">
        <v>#VALUE!</v>
      </c>
      <c r="AH36" s="172"/>
      <c r="AI36" s="203" t="e">
        <v>#VALUE!</v>
      </c>
      <c r="AJ36" s="203" t="e">
        <v>#VALUE!</v>
      </c>
      <c r="AK36" s="172"/>
      <c r="AL36" s="172" t="e">
        <v>#VALUE!</v>
      </c>
      <c r="AM36" s="172" t="e">
        <v>#VALUE!</v>
      </c>
      <c r="AN36" s="172" t="e">
        <v>#VALUE!</v>
      </c>
      <c r="AO36" s="172" t="e">
        <v>#VALUE!</v>
      </c>
      <c r="AP36" s="172" t="e">
        <v>#VALUE!</v>
      </c>
      <c r="AQ36" s="172" t="e">
        <v>#VALUE!</v>
      </c>
      <c r="AR36" s="172" t="e">
        <v>#VALUE!</v>
      </c>
      <c r="AS36" s="172" t="e">
        <v>#VALUE!</v>
      </c>
      <c r="AT36" s="172" t="e">
        <v>#VALUE!</v>
      </c>
      <c r="AU36" s="172" t="e">
        <v>#VALUE!</v>
      </c>
      <c r="AV36" s="172" t="e">
        <v>#VALUE!</v>
      </c>
      <c r="AW36" s="172">
        <v>10500110</v>
      </c>
      <c r="BE36" s="33"/>
      <c r="BF36" s="33"/>
      <c r="BG36" s="33"/>
      <c r="BH36" s="33"/>
    </row>
    <row r="37" spans="1:70" x14ac:dyDescent="0.25">
      <c r="A37" s="173">
        <v>110</v>
      </c>
      <c r="B37" s="7" t="s">
        <v>434</v>
      </c>
      <c r="C37" s="173">
        <v>12</v>
      </c>
      <c r="D37" s="173">
        <v>11</v>
      </c>
      <c r="E37" s="193" t="str">
        <f t="shared" si="0"/>
        <v>110-12</v>
      </c>
      <c r="F37" s="193" t="str">
        <f t="shared" si="8"/>
        <v>110-11</v>
      </c>
      <c r="G37" s="173" t="s">
        <v>424</v>
      </c>
      <c r="H37" s="173" t="s">
        <v>421</v>
      </c>
      <c r="I37" s="7" t="s">
        <v>442</v>
      </c>
      <c r="J37" s="7" t="s">
        <v>443</v>
      </c>
      <c r="K37" s="7">
        <v>5</v>
      </c>
      <c r="L37" s="7" t="s">
        <v>428</v>
      </c>
      <c r="M37" s="204"/>
      <c r="N37" s="204"/>
      <c r="O37" s="204"/>
      <c r="P37" s="204"/>
      <c r="Q37" s="195">
        <v>9772</v>
      </c>
      <c r="R37" s="196" t="s">
        <v>429</v>
      </c>
      <c r="S37" s="173">
        <v>7</v>
      </c>
      <c r="T37" s="173">
        <v>52</v>
      </c>
      <c r="U37" s="173">
        <v>24</v>
      </c>
      <c r="V37" s="173">
        <v>8736</v>
      </c>
      <c r="W37" s="173"/>
      <c r="X37" s="173">
        <v>0.12</v>
      </c>
      <c r="Y37" s="173"/>
      <c r="Z37" s="173">
        <v>91.6</v>
      </c>
      <c r="AA37" s="173"/>
      <c r="AB37" s="173"/>
      <c r="AC37" s="173"/>
      <c r="AD37" s="7" t="s">
        <v>444</v>
      </c>
      <c r="AE37" s="7" t="e">
        <v>#VALUE!</v>
      </c>
      <c r="AF37" s="205" t="e">
        <v>#VALUE!</v>
      </c>
      <c r="AG37" s="7"/>
      <c r="AH37" s="173"/>
      <c r="AI37" s="206" t="e">
        <v>#VALUE!</v>
      </c>
      <c r="AJ37" s="206" t="e">
        <v>#VALUE!</v>
      </c>
      <c r="AK37" s="173"/>
      <c r="AL37" s="173" t="e">
        <v>#VALUE!</v>
      </c>
      <c r="AM37" s="173" t="e">
        <v>#VALUE!</v>
      </c>
      <c r="AN37" s="173" t="e">
        <v>#VALUE!</v>
      </c>
      <c r="AO37" s="173" t="e">
        <v>#VALUE!</v>
      </c>
      <c r="AP37" s="173" t="e">
        <v>#VALUE!</v>
      </c>
      <c r="AQ37" s="173" t="e">
        <v>#VALUE!</v>
      </c>
      <c r="AR37" s="173" t="e">
        <v>#VALUE!</v>
      </c>
      <c r="AS37" s="173" t="e">
        <v>#VALUE!</v>
      </c>
      <c r="AT37" s="173" t="e">
        <v>#VALUE!</v>
      </c>
      <c r="AU37" s="173" t="e">
        <v>#VALUE!</v>
      </c>
      <c r="AV37" s="173" t="e">
        <v>#VALUE!</v>
      </c>
      <c r="AW37" s="173">
        <v>10500110</v>
      </c>
      <c r="AX37" s="7"/>
      <c r="AY37" s="7"/>
      <c r="AZ37" s="7"/>
      <c r="BA37" s="7"/>
      <c r="BB37" s="7"/>
      <c r="BC37" s="7"/>
      <c r="BD37" s="7"/>
      <c r="BE37" s="41"/>
      <c r="BF37" s="41"/>
      <c r="BG37" s="41"/>
      <c r="BH37" s="41"/>
      <c r="BI37" s="7"/>
      <c r="BJ37" s="7"/>
      <c r="BK37" s="7"/>
      <c r="BL37" s="7"/>
      <c r="BM37" s="7"/>
      <c r="BN37" s="7"/>
      <c r="BO37" s="7"/>
      <c r="BP37" s="7"/>
      <c r="BQ37" s="7"/>
      <c r="BR37" s="7"/>
    </row>
    <row r="38" spans="1:70" x14ac:dyDescent="0.25">
      <c r="A38" s="173">
        <v>315</v>
      </c>
      <c r="B38" s="7"/>
      <c r="C38" s="173"/>
      <c r="D38" s="173"/>
      <c r="E38" s="193"/>
      <c r="F38" s="193"/>
      <c r="G38" s="173"/>
      <c r="H38" s="173"/>
      <c r="I38" s="7"/>
      <c r="J38" s="7"/>
      <c r="K38" s="7"/>
      <c r="L38" s="7"/>
      <c r="M38" s="204"/>
      <c r="N38" s="204"/>
      <c r="O38" s="204"/>
      <c r="P38" s="204"/>
      <c r="Q38" s="195"/>
      <c r="R38" s="196"/>
      <c r="S38" s="173">
        <v>7</v>
      </c>
      <c r="T38" s="173">
        <v>52</v>
      </c>
      <c r="U38" s="173">
        <v>24</v>
      </c>
      <c r="V38" s="173">
        <v>8736</v>
      </c>
      <c r="W38" s="173"/>
      <c r="X38" s="173"/>
      <c r="Y38" s="173"/>
      <c r="Z38" s="173"/>
      <c r="AA38" s="173">
        <v>7599</v>
      </c>
      <c r="AB38" s="173"/>
      <c r="AC38" s="173"/>
      <c r="AD38" s="7"/>
      <c r="AE38" s="212" t="e">
        <v>#N/A</v>
      </c>
      <c r="AF38" s="213" t="e">
        <v>#N/A</v>
      </c>
      <c r="AG38" s="212"/>
      <c r="AH38" s="214"/>
      <c r="AI38" s="215" t="e">
        <v>#N/A</v>
      </c>
      <c r="AJ38" s="215" t="e">
        <v>#N/A</v>
      </c>
      <c r="AK38" s="214"/>
      <c r="AL38" s="214" t="e">
        <v>#N/A</v>
      </c>
      <c r="AM38" s="214" t="e">
        <v>#N/A</v>
      </c>
      <c r="AN38" s="214" t="e">
        <v>#N/A</v>
      </c>
      <c r="AO38" s="214" t="e">
        <v>#N/A</v>
      </c>
      <c r="AP38" s="214" t="e">
        <v>#N/A</v>
      </c>
      <c r="AQ38" s="214" t="e">
        <v>#N/A</v>
      </c>
      <c r="AR38" s="214" t="e">
        <v>#N/A</v>
      </c>
      <c r="AS38" s="214" t="e">
        <v>#N/A</v>
      </c>
      <c r="AT38" s="214" t="e">
        <v>#N/A</v>
      </c>
      <c r="AU38" s="214" t="e">
        <v>#N/A</v>
      </c>
      <c r="AV38" s="214" t="e">
        <v>#N/A</v>
      </c>
      <c r="AW38" s="216"/>
      <c r="AX38" s="33"/>
      <c r="AY38" s="33"/>
      <c r="AZ38" s="51"/>
      <c r="BA38" s="51"/>
      <c r="BB38" s="17"/>
      <c r="BC38" s="11"/>
      <c r="BD38" s="17"/>
      <c r="BE38" s="33"/>
      <c r="BF38" s="33"/>
      <c r="BG38" s="33"/>
      <c r="BH38" s="33"/>
      <c r="BI38" s="33"/>
      <c r="BJ38" s="11"/>
      <c r="BK38" s="33"/>
      <c r="BL38" s="200"/>
      <c r="BM38" s="200"/>
      <c r="BN38" s="200"/>
      <c r="BO38" s="200"/>
      <c r="BP38" s="200"/>
      <c r="BQ38" s="200"/>
      <c r="BR38" s="200"/>
    </row>
    <row r="39" spans="1:70" x14ac:dyDescent="0.25">
      <c r="A39" s="172">
        <v>316</v>
      </c>
      <c r="E39" s="177"/>
      <c r="F39" s="177"/>
      <c r="I39"/>
      <c r="J39"/>
      <c r="K39"/>
      <c r="L39"/>
      <c r="M39" s="198"/>
      <c r="N39" s="198"/>
      <c r="O39" s="198"/>
      <c r="P39" s="198"/>
      <c r="Q39" s="199"/>
      <c r="S39" s="172">
        <v>7</v>
      </c>
      <c r="T39" s="172">
        <v>52</v>
      </c>
      <c r="U39" s="172">
        <v>24</v>
      </c>
      <c r="V39" s="172">
        <v>8322</v>
      </c>
      <c r="Z39" s="49"/>
      <c r="AA39" s="172">
        <v>7587</v>
      </c>
      <c r="AB39" s="172" t="s">
        <v>445</v>
      </c>
      <c r="AD39" s="189"/>
      <c r="AE39" t="e">
        <v>#N/A</v>
      </c>
      <c r="AF39" s="73" t="e">
        <v>#N/A</v>
      </c>
      <c r="AH39" s="172"/>
      <c r="AI39" s="203" t="e">
        <v>#N/A</v>
      </c>
      <c r="AJ39" s="203" t="e">
        <v>#N/A</v>
      </c>
      <c r="AK39" s="172"/>
      <c r="AL39" s="172" t="e">
        <v>#N/A</v>
      </c>
      <c r="AM39" s="172" t="e">
        <v>#N/A</v>
      </c>
      <c r="AN39" s="172" t="e">
        <v>#N/A</v>
      </c>
      <c r="AO39" s="172" t="e">
        <v>#N/A</v>
      </c>
      <c r="AP39" s="172" t="e">
        <v>#N/A</v>
      </c>
      <c r="AQ39" s="172" t="e">
        <v>#N/A</v>
      </c>
      <c r="AR39" s="172" t="e">
        <v>#N/A</v>
      </c>
      <c r="AS39" s="172" t="e">
        <v>#N/A</v>
      </c>
      <c r="AT39" s="172" t="e">
        <v>#N/A</v>
      </c>
      <c r="AU39" s="172" t="e">
        <v>#N/A</v>
      </c>
      <c r="AV39" s="172" t="e">
        <v>#N/A</v>
      </c>
      <c r="AW39" s="217"/>
      <c r="AX39" s="33"/>
      <c r="AY39" s="33"/>
      <c r="AZ39" s="51"/>
      <c r="BA39" s="51"/>
      <c r="BB39" s="33"/>
      <c r="BC39" s="11"/>
      <c r="BD39" s="17"/>
      <c r="BE39" s="33"/>
      <c r="BF39" s="33"/>
      <c r="BG39" s="33"/>
      <c r="BH39" s="33"/>
      <c r="BI39" s="33"/>
      <c r="BJ39" s="11"/>
      <c r="BK39" s="33"/>
      <c r="BL39" s="200"/>
      <c r="BM39" s="200"/>
      <c r="BN39" s="200"/>
      <c r="BO39" s="200"/>
      <c r="BP39" s="200"/>
      <c r="BQ39" s="200"/>
      <c r="BR39" s="200"/>
    </row>
    <row r="40" spans="1:70" x14ac:dyDescent="0.25">
      <c r="A40" s="172">
        <v>316</v>
      </c>
      <c r="E40" s="177"/>
      <c r="F40" s="177"/>
      <c r="I40"/>
      <c r="J40"/>
      <c r="K40"/>
      <c r="L40"/>
      <c r="M40" s="198"/>
      <c r="N40" s="198"/>
      <c r="O40" s="198"/>
      <c r="P40" s="198"/>
      <c r="Q40" s="199"/>
      <c r="S40" s="172">
        <v>7</v>
      </c>
      <c r="T40" s="172">
        <v>52</v>
      </c>
      <c r="U40" s="172">
        <v>24</v>
      </c>
      <c r="V40" s="172">
        <v>8341</v>
      </c>
      <c r="Z40" s="49"/>
      <c r="AA40" s="172">
        <v>7587</v>
      </c>
      <c r="AB40" s="172" t="s">
        <v>445</v>
      </c>
      <c r="AD40" s="189"/>
      <c r="AE40" t="e">
        <v>#N/A</v>
      </c>
      <c r="AF40" s="73" t="e">
        <v>#N/A</v>
      </c>
      <c r="AH40" s="172"/>
      <c r="AI40" s="203" t="e">
        <v>#N/A</v>
      </c>
      <c r="AJ40" s="203" t="e">
        <v>#N/A</v>
      </c>
      <c r="AK40" s="172"/>
      <c r="AL40" s="172" t="e">
        <v>#N/A</v>
      </c>
      <c r="AM40" s="172" t="e">
        <v>#N/A</v>
      </c>
      <c r="AN40" s="172" t="e">
        <v>#N/A</v>
      </c>
      <c r="AO40" s="172" t="e">
        <v>#N/A</v>
      </c>
      <c r="AP40" s="172" t="e">
        <v>#N/A</v>
      </c>
      <c r="AQ40" s="172" t="e">
        <v>#N/A</v>
      </c>
      <c r="AR40" s="172" t="e">
        <v>#N/A</v>
      </c>
      <c r="AS40" s="172" t="e">
        <v>#N/A</v>
      </c>
      <c r="AT40" s="172" t="e">
        <v>#N/A</v>
      </c>
      <c r="AU40" s="172" t="e">
        <v>#N/A</v>
      </c>
      <c r="AV40" s="172" t="e">
        <v>#N/A</v>
      </c>
      <c r="AW40" s="217"/>
      <c r="AX40" s="33"/>
      <c r="AY40" s="33"/>
      <c r="AZ40" s="51"/>
      <c r="BA40" s="51"/>
      <c r="BB40" s="33"/>
      <c r="BC40" s="11"/>
      <c r="BD40" s="17"/>
      <c r="BE40" s="33"/>
      <c r="BF40" s="33"/>
      <c r="BG40" s="33"/>
      <c r="BH40" s="33"/>
      <c r="BI40" s="33"/>
      <c r="BJ40" s="11"/>
      <c r="BK40" s="33"/>
      <c r="BL40" s="200"/>
      <c r="BM40" s="200"/>
      <c r="BN40" s="200"/>
      <c r="BO40" s="200"/>
      <c r="BP40" s="200"/>
      <c r="BQ40" s="200"/>
      <c r="BR40" s="200"/>
    </row>
    <row r="41" spans="1:70" x14ac:dyDescent="0.25">
      <c r="A41" s="172">
        <v>316</v>
      </c>
      <c r="E41" s="177"/>
      <c r="F41" s="177"/>
      <c r="I41"/>
      <c r="J41"/>
      <c r="K41"/>
      <c r="L41"/>
      <c r="M41" s="198"/>
      <c r="N41" s="198"/>
      <c r="O41" s="198"/>
      <c r="P41" s="198"/>
      <c r="Q41" s="199"/>
      <c r="S41" s="172">
        <v>1</v>
      </c>
      <c r="T41" s="172">
        <v>9</v>
      </c>
      <c r="U41" s="172">
        <v>4</v>
      </c>
      <c r="V41" s="172">
        <v>2837</v>
      </c>
      <c r="AA41" s="172">
        <v>135</v>
      </c>
      <c r="AB41" s="172" t="s">
        <v>445</v>
      </c>
      <c r="AD41" s="189"/>
      <c r="AE41" t="e">
        <v>#N/A</v>
      </c>
      <c r="AF41" s="73" t="e">
        <v>#N/A</v>
      </c>
      <c r="AH41" s="172"/>
      <c r="AI41" s="203" t="e">
        <v>#N/A</v>
      </c>
      <c r="AJ41" s="203" t="e">
        <v>#N/A</v>
      </c>
      <c r="AK41" s="172"/>
      <c r="AL41" s="172" t="e">
        <v>#N/A</v>
      </c>
      <c r="AM41" s="172" t="e">
        <v>#N/A</v>
      </c>
      <c r="AN41" s="172" t="e">
        <v>#N/A</v>
      </c>
      <c r="AO41" s="172" t="e">
        <v>#N/A</v>
      </c>
      <c r="AP41" s="172" t="e">
        <v>#N/A</v>
      </c>
      <c r="AQ41" s="172" t="e">
        <v>#N/A</v>
      </c>
      <c r="AR41" s="172" t="e">
        <v>#N/A</v>
      </c>
      <c r="AS41" s="172" t="e">
        <v>#N/A</v>
      </c>
      <c r="AT41" s="172" t="e">
        <v>#N/A</v>
      </c>
      <c r="AU41" s="172" t="e">
        <v>#N/A</v>
      </c>
      <c r="AV41" s="172" t="e">
        <v>#N/A</v>
      </c>
      <c r="AW41" s="217"/>
      <c r="AX41" s="33"/>
      <c r="AY41" s="33"/>
      <c r="AZ41" s="51"/>
      <c r="BA41" s="51"/>
      <c r="BB41" s="33"/>
      <c r="BC41" s="11"/>
      <c r="BD41" s="17"/>
      <c r="BE41" s="33"/>
      <c r="BF41" s="33"/>
      <c r="BG41" s="33"/>
      <c r="BH41" s="33"/>
      <c r="BI41" s="33"/>
      <c r="BJ41" s="11"/>
      <c r="BK41" s="33"/>
      <c r="BL41" s="200"/>
      <c r="BM41" s="200"/>
      <c r="BN41" s="200"/>
      <c r="BO41" s="200"/>
      <c r="BP41" s="200"/>
      <c r="BQ41" s="200"/>
      <c r="BR41" s="200"/>
    </row>
    <row r="42" spans="1:70" x14ac:dyDescent="0.25">
      <c r="A42" s="172">
        <v>316</v>
      </c>
      <c r="E42" s="177"/>
      <c r="F42" s="177"/>
      <c r="I42"/>
      <c r="J42"/>
      <c r="K42"/>
      <c r="L42"/>
      <c r="M42" s="198"/>
      <c r="N42" s="198"/>
      <c r="O42" s="198"/>
      <c r="P42" s="198"/>
      <c r="Q42" s="199"/>
      <c r="S42" s="172">
        <v>1</v>
      </c>
      <c r="T42" s="172">
        <v>7</v>
      </c>
      <c r="U42" s="172">
        <v>3</v>
      </c>
      <c r="V42" s="172">
        <v>3299</v>
      </c>
      <c r="AA42" s="172">
        <v>135</v>
      </c>
      <c r="AB42" s="172" t="s">
        <v>445</v>
      </c>
      <c r="AD42" s="189"/>
      <c r="AE42" t="e">
        <v>#N/A</v>
      </c>
      <c r="AF42" s="73" t="e">
        <v>#N/A</v>
      </c>
      <c r="AH42" s="172"/>
      <c r="AI42" s="203" t="e">
        <v>#N/A</v>
      </c>
      <c r="AJ42" s="203" t="e">
        <v>#N/A</v>
      </c>
      <c r="AK42" s="172"/>
      <c r="AL42" s="172" t="e">
        <v>#N/A</v>
      </c>
      <c r="AM42" s="172" t="e">
        <v>#N/A</v>
      </c>
      <c r="AN42" s="172" t="e">
        <v>#N/A</v>
      </c>
      <c r="AO42" s="172" t="e">
        <v>#N/A</v>
      </c>
      <c r="AP42" s="172" t="e">
        <v>#N/A</v>
      </c>
      <c r="AQ42" s="172" t="e">
        <v>#N/A</v>
      </c>
      <c r="AR42" s="172" t="e">
        <v>#N/A</v>
      </c>
      <c r="AS42" s="172" t="e">
        <v>#N/A</v>
      </c>
      <c r="AT42" s="172" t="e">
        <v>#N/A</v>
      </c>
      <c r="AU42" s="172" t="e">
        <v>#N/A</v>
      </c>
      <c r="AV42" s="172" t="e">
        <v>#N/A</v>
      </c>
      <c r="AW42" s="217"/>
      <c r="AX42" s="33"/>
      <c r="AY42" s="33"/>
      <c r="AZ42" s="51"/>
      <c r="BA42" s="51"/>
      <c r="BB42" s="33"/>
      <c r="BC42" s="11"/>
      <c r="BD42" s="17"/>
      <c r="BE42" s="33"/>
      <c r="BF42" s="33"/>
      <c r="BG42" s="33"/>
      <c r="BH42" s="33"/>
      <c r="BI42" s="33"/>
      <c r="BJ42" s="11"/>
      <c r="BK42" s="33"/>
      <c r="BL42" s="200"/>
      <c r="BM42" s="200"/>
      <c r="BN42" s="200"/>
      <c r="BO42" s="200"/>
      <c r="BP42" s="200"/>
      <c r="BQ42" s="200"/>
      <c r="BR42" s="200"/>
    </row>
    <row r="43" spans="1:70" hidden="1" x14ac:dyDescent="0.25">
      <c r="A43" s="172">
        <v>316</v>
      </c>
      <c r="B43" t="s">
        <v>446</v>
      </c>
      <c r="C43" s="172">
        <v>4</v>
      </c>
      <c r="D43" s="172">
        <v>4</v>
      </c>
      <c r="E43" s="177" t="str">
        <f t="shared" si="0"/>
        <v>316-4</v>
      </c>
      <c r="F43" s="177" t="str">
        <f t="shared" si="8"/>
        <v>316-4</v>
      </c>
      <c r="G43" s="172" t="s">
        <v>420</v>
      </c>
      <c r="H43" s="172" t="s">
        <v>192</v>
      </c>
      <c r="I43" t="e">
        <v>#VALUE!</v>
      </c>
      <c r="J43" t="e">
        <v>#VALUE!</v>
      </c>
      <c r="K43" t="e">
        <v>#VALUE!</v>
      </c>
      <c r="L43" t="e">
        <v>#VALUE!</v>
      </c>
      <c r="M43" s="198"/>
      <c r="N43" s="198"/>
      <c r="O43" s="198"/>
      <c r="P43" s="198"/>
      <c r="Q43" s="199">
        <v>89.7</v>
      </c>
      <c r="R43" t="s">
        <v>447</v>
      </c>
      <c r="S43" s="172">
        <v>0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AD43" s="189"/>
      <c r="AE43" t="e">
        <v>#VALUE!</v>
      </c>
      <c r="AF43" s="73" t="e">
        <v>#VALUE!</v>
      </c>
      <c r="AH43" s="172"/>
      <c r="AI43" s="203" t="e">
        <v>#VALUE!</v>
      </c>
      <c r="AJ43" s="203" t="e">
        <v>#VALUE!</v>
      </c>
      <c r="AK43" s="172"/>
      <c r="AL43" s="172" t="e">
        <v>#VALUE!</v>
      </c>
      <c r="AM43" s="172" t="e">
        <v>#VALUE!</v>
      </c>
      <c r="AN43" s="172" t="e">
        <v>#VALUE!</v>
      </c>
      <c r="AO43" s="172" t="e">
        <v>#VALUE!</v>
      </c>
      <c r="AP43" s="172" t="e">
        <v>#VALUE!</v>
      </c>
      <c r="AQ43" s="172" t="e">
        <v>#VALUE!</v>
      </c>
      <c r="AR43" s="172" t="e">
        <v>#VALUE!</v>
      </c>
      <c r="AS43" s="172" t="e">
        <v>#VALUE!</v>
      </c>
      <c r="AT43" s="172" t="e">
        <v>#VALUE!</v>
      </c>
      <c r="AU43" s="172" t="e">
        <v>#VALUE!</v>
      </c>
      <c r="AV43" s="172" t="e">
        <v>#VALUE!</v>
      </c>
      <c r="AW43" s="217">
        <v>10300601</v>
      </c>
      <c r="BE43" s="33"/>
      <c r="BF43" s="33"/>
      <c r="BG43" s="33"/>
      <c r="BH43" s="33"/>
    </row>
    <row r="44" spans="1:70" x14ac:dyDescent="0.25">
      <c r="A44" s="172">
        <v>316</v>
      </c>
      <c r="E44" s="177"/>
      <c r="F44" s="177"/>
      <c r="I44"/>
      <c r="J44"/>
      <c r="K44"/>
      <c r="L44"/>
      <c r="M44" s="198"/>
      <c r="N44" s="198"/>
      <c r="O44" s="198"/>
      <c r="P44" s="198"/>
      <c r="Q44" s="199"/>
      <c r="S44" s="172">
        <v>2</v>
      </c>
      <c r="T44" s="172">
        <v>15</v>
      </c>
      <c r="U44" s="172">
        <v>7</v>
      </c>
      <c r="V44" s="172">
        <v>0</v>
      </c>
      <c r="AA44" s="172">
        <v>135</v>
      </c>
      <c r="AD44" s="189"/>
      <c r="AE44" t="e">
        <v>#N/A</v>
      </c>
      <c r="AF44" s="73" t="e">
        <v>#N/A</v>
      </c>
      <c r="AH44" s="172"/>
      <c r="AI44" s="203" t="e">
        <v>#N/A</v>
      </c>
      <c r="AJ44" s="203" t="e">
        <v>#N/A</v>
      </c>
      <c r="AK44" s="172"/>
      <c r="AL44" s="172" t="e">
        <v>#N/A</v>
      </c>
      <c r="AM44" s="172" t="e">
        <v>#N/A</v>
      </c>
      <c r="AN44" s="172" t="e">
        <v>#N/A</v>
      </c>
      <c r="AO44" s="172" t="e">
        <v>#N/A</v>
      </c>
      <c r="AP44" s="172" t="e">
        <v>#N/A</v>
      </c>
      <c r="AQ44" s="172" t="e">
        <v>#N/A</v>
      </c>
      <c r="AR44" s="172" t="e">
        <v>#N/A</v>
      </c>
      <c r="AS44" s="172" t="e">
        <v>#N/A</v>
      </c>
      <c r="AT44" s="172" t="e">
        <v>#N/A</v>
      </c>
      <c r="AU44" s="172" t="e">
        <v>#N/A</v>
      </c>
      <c r="AV44" s="172" t="e">
        <v>#N/A</v>
      </c>
      <c r="AW44" s="172"/>
      <c r="BE44" s="33"/>
      <c r="BF44" s="33"/>
      <c r="BG44" s="33"/>
      <c r="BH44" s="33"/>
    </row>
    <row r="45" spans="1:70" x14ac:dyDescent="0.25">
      <c r="A45" s="173">
        <v>316</v>
      </c>
      <c r="B45" s="7"/>
      <c r="C45" s="173"/>
      <c r="D45" s="173"/>
      <c r="E45" s="193"/>
      <c r="F45" s="193"/>
      <c r="G45" s="173"/>
      <c r="H45" s="173"/>
      <c r="I45" s="7"/>
      <c r="J45" s="7"/>
      <c r="K45" s="7"/>
      <c r="L45" s="7"/>
      <c r="M45" s="204"/>
      <c r="N45" s="204"/>
      <c r="O45" s="204"/>
      <c r="P45" s="204"/>
      <c r="Q45" s="195"/>
      <c r="R45" s="7"/>
      <c r="S45" s="173">
        <v>7</v>
      </c>
      <c r="T45" s="173">
        <v>52</v>
      </c>
      <c r="U45" s="173">
        <v>24</v>
      </c>
      <c r="V45" s="173">
        <v>8736</v>
      </c>
      <c r="W45" s="173"/>
      <c r="X45" s="173"/>
      <c r="Y45" s="173"/>
      <c r="Z45" s="173"/>
      <c r="AA45" s="173"/>
      <c r="AB45" s="173"/>
      <c r="AC45" s="173"/>
      <c r="AD45" s="196"/>
      <c r="AE45" s="7" t="e">
        <v>#N/A</v>
      </c>
      <c r="AF45" s="205" t="e">
        <v>#N/A</v>
      </c>
      <c r="AG45" s="7"/>
      <c r="AH45" s="173"/>
      <c r="AI45" s="206" t="e">
        <v>#N/A</v>
      </c>
      <c r="AJ45" s="206" t="e">
        <v>#N/A</v>
      </c>
      <c r="AK45" s="173"/>
      <c r="AL45" s="173" t="e">
        <v>#N/A</v>
      </c>
      <c r="AM45" s="173" t="e">
        <v>#N/A</v>
      </c>
      <c r="AN45" s="173" t="e">
        <v>#N/A</v>
      </c>
      <c r="AO45" s="173" t="e">
        <v>#N/A</v>
      </c>
      <c r="AP45" s="173" t="e">
        <v>#N/A</v>
      </c>
      <c r="AQ45" s="173" t="e">
        <v>#N/A</v>
      </c>
      <c r="AR45" s="173" t="e">
        <v>#N/A</v>
      </c>
      <c r="AS45" s="173" t="e">
        <v>#N/A</v>
      </c>
      <c r="AT45" s="173" t="e">
        <v>#N/A</v>
      </c>
      <c r="AU45" s="173" t="e">
        <v>#N/A</v>
      </c>
      <c r="AV45" s="173" t="e">
        <v>#N/A</v>
      </c>
      <c r="AW45" s="216"/>
      <c r="BE45" s="33"/>
      <c r="BF45" s="33"/>
      <c r="BG45" s="33"/>
      <c r="BH45" s="33"/>
    </row>
    <row r="46" spans="1:70" x14ac:dyDescent="0.25">
      <c r="A46" s="172">
        <v>1121</v>
      </c>
      <c r="E46" s="177"/>
      <c r="F46" s="177"/>
      <c r="I46"/>
      <c r="J46"/>
      <c r="K46"/>
      <c r="L46"/>
      <c r="M46" s="198"/>
      <c r="N46" s="198"/>
      <c r="O46" s="198"/>
      <c r="P46" s="198"/>
      <c r="Q46" s="199"/>
      <c r="S46" s="172">
        <v>7</v>
      </c>
      <c r="T46" s="172">
        <v>52</v>
      </c>
      <c r="U46" s="172">
        <v>24</v>
      </c>
      <c r="V46" s="172">
        <v>8736</v>
      </c>
      <c r="Y46" s="172" t="s">
        <v>445</v>
      </c>
      <c r="AA46" s="172" t="s">
        <v>445</v>
      </c>
      <c r="AB46" s="172">
        <v>15.14</v>
      </c>
      <c r="AC46" s="172" t="s">
        <v>445</v>
      </c>
      <c r="AE46" t="e">
        <v>#N/A</v>
      </c>
      <c r="AF46" s="73" t="e">
        <v>#N/A</v>
      </c>
      <c r="AH46" s="172"/>
      <c r="AI46" s="218" t="e">
        <v>#N/A</v>
      </c>
      <c r="AJ46" s="218" t="e">
        <v>#N/A</v>
      </c>
      <c r="AK46" s="172"/>
      <c r="AL46" s="172" t="e">
        <v>#N/A</v>
      </c>
      <c r="AM46" s="172" t="e">
        <v>#N/A</v>
      </c>
      <c r="AN46" s="172" t="e">
        <v>#N/A</v>
      </c>
      <c r="AO46" s="172" t="e">
        <v>#N/A</v>
      </c>
      <c r="AP46" s="172" t="e">
        <v>#N/A</v>
      </c>
      <c r="AQ46" s="172" t="e">
        <v>#N/A</v>
      </c>
      <c r="AR46" s="172" t="e">
        <v>#N/A</v>
      </c>
      <c r="AS46" s="172" t="e">
        <v>#N/A</v>
      </c>
      <c r="AT46" s="172" t="e">
        <v>#N/A</v>
      </c>
      <c r="AU46" s="172" t="e">
        <v>#N/A</v>
      </c>
      <c r="AV46" s="172" t="e">
        <v>#N/A</v>
      </c>
      <c r="AW46" s="217"/>
      <c r="AY46" s="33"/>
      <c r="AZ46" s="51"/>
      <c r="BA46" s="51"/>
      <c r="BB46" s="33"/>
      <c r="BC46" s="11"/>
      <c r="BD46" s="17"/>
      <c r="BE46" s="33"/>
      <c r="BF46" s="33"/>
      <c r="BG46" s="33"/>
      <c r="BH46" s="33"/>
      <c r="BI46" s="33"/>
      <c r="BJ46" s="11"/>
      <c r="BK46" s="33"/>
      <c r="BL46" s="200"/>
      <c r="BM46" s="200"/>
      <c r="BN46" s="200"/>
      <c r="BO46" s="200"/>
      <c r="BP46" s="200"/>
      <c r="BQ46" s="200"/>
      <c r="BR46" s="200"/>
    </row>
    <row r="47" spans="1:70" x14ac:dyDescent="0.25">
      <c r="A47" s="172">
        <v>1121</v>
      </c>
      <c r="E47" s="177"/>
      <c r="F47" s="177"/>
      <c r="I47"/>
      <c r="J47"/>
      <c r="K47"/>
      <c r="L47"/>
      <c r="M47" s="198"/>
      <c r="N47" s="198"/>
      <c r="O47" s="198"/>
      <c r="P47" s="198"/>
      <c r="Q47" s="199"/>
      <c r="S47" s="172">
        <v>7</v>
      </c>
      <c r="T47" s="172">
        <v>52</v>
      </c>
      <c r="U47" s="172">
        <v>24</v>
      </c>
      <c r="V47" s="172">
        <v>8736</v>
      </c>
      <c r="AB47" s="172">
        <v>15.14</v>
      </c>
      <c r="AE47" t="e">
        <v>#N/A</v>
      </c>
      <c r="AF47" s="73" t="e">
        <v>#N/A</v>
      </c>
      <c r="AH47" s="172"/>
      <c r="AI47" s="203" t="e">
        <v>#N/A</v>
      </c>
      <c r="AJ47" s="203" t="e">
        <v>#N/A</v>
      </c>
      <c r="AK47" s="172"/>
      <c r="AL47" s="172" t="e">
        <v>#N/A</v>
      </c>
      <c r="AM47" s="172" t="e">
        <v>#N/A</v>
      </c>
      <c r="AN47" s="172" t="e">
        <v>#N/A</v>
      </c>
      <c r="AO47" s="172" t="e">
        <v>#N/A</v>
      </c>
      <c r="AP47" s="172" t="e">
        <v>#N/A</v>
      </c>
      <c r="AQ47" s="172" t="e">
        <v>#N/A</v>
      </c>
      <c r="AR47" s="172" t="e">
        <v>#N/A</v>
      </c>
      <c r="AS47" s="172" t="e">
        <v>#N/A</v>
      </c>
      <c r="AT47" s="172" t="e">
        <v>#N/A</v>
      </c>
      <c r="AU47" s="172" t="e">
        <v>#N/A</v>
      </c>
      <c r="AV47" s="172" t="e">
        <v>#N/A</v>
      </c>
      <c r="AW47" s="217"/>
      <c r="AY47" s="33"/>
      <c r="AZ47" s="51"/>
      <c r="BA47" s="51"/>
      <c r="BB47" s="33"/>
      <c r="BC47" s="11"/>
      <c r="BD47" s="17"/>
      <c r="BE47" s="33"/>
      <c r="BF47" s="33"/>
      <c r="BG47" s="33"/>
      <c r="BH47" s="33"/>
      <c r="BI47" s="33"/>
      <c r="BJ47" s="11"/>
      <c r="BK47" s="33"/>
      <c r="BL47" s="200"/>
      <c r="BM47" s="200"/>
      <c r="BN47" s="200"/>
      <c r="BO47" s="200"/>
      <c r="BP47" s="200"/>
      <c r="BQ47" s="200"/>
      <c r="BR47" s="200"/>
    </row>
    <row r="48" spans="1:70" x14ac:dyDescent="0.25">
      <c r="A48" s="172">
        <v>1121</v>
      </c>
      <c r="E48" s="177"/>
      <c r="F48" s="177"/>
      <c r="I48"/>
      <c r="J48"/>
      <c r="K48"/>
      <c r="L48"/>
      <c r="M48" s="198"/>
      <c r="N48" s="198"/>
      <c r="O48" s="198"/>
      <c r="P48" s="198"/>
      <c r="Q48" s="199"/>
      <c r="S48" s="172">
        <v>7</v>
      </c>
      <c r="T48" s="172">
        <v>52</v>
      </c>
      <c r="U48" s="172">
        <v>24</v>
      </c>
      <c r="V48" s="172">
        <v>8736</v>
      </c>
      <c r="AB48" s="172">
        <v>15.14</v>
      </c>
      <c r="AE48" t="e">
        <v>#N/A</v>
      </c>
      <c r="AF48" t="e">
        <v>#N/A</v>
      </c>
      <c r="AI48" s="190" t="e">
        <v>#N/A</v>
      </c>
      <c r="AJ48" s="190" t="e">
        <v>#N/A</v>
      </c>
      <c r="AL48" s="172" t="e">
        <v>#N/A</v>
      </c>
      <c r="AM48" s="172" t="e">
        <v>#N/A</v>
      </c>
      <c r="AN48" s="172" t="e">
        <v>#N/A</v>
      </c>
      <c r="AO48" s="172" t="e">
        <v>#N/A</v>
      </c>
      <c r="AP48" s="172" t="e">
        <v>#N/A</v>
      </c>
      <c r="AQ48" s="172" t="e">
        <v>#N/A</v>
      </c>
      <c r="AR48" s="172" t="e">
        <v>#N/A</v>
      </c>
      <c r="AS48" s="172" t="e">
        <v>#N/A</v>
      </c>
      <c r="AT48" s="172" t="e">
        <v>#N/A</v>
      </c>
      <c r="AU48" s="172" t="e">
        <v>#N/A</v>
      </c>
      <c r="AV48" s="172" t="e">
        <v>#N/A</v>
      </c>
      <c r="AW48" s="217"/>
      <c r="AY48" s="33"/>
      <c r="AZ48" s="51"/>
      <c r="BA48" s="51"/>
      <c r="BB48" s="33"/>
      <c r="BC48" s="11"/>
      <c r="BD48" s="17"/>
      <c r="BE48" s="33"/>
      <c r="BF48" s="33"/>
      <c r="BG48" s="33"/>
      <c r="BH48" s="33"/>
      <c r="BI48" s="33"/>
      <c r="BJ48" s="11"/>
      <c r="BK48" s="33"/>
      <c r="BL48" s="200"/>
      <c r="BM48" s="200"/>
      <c r="BN48" s="200"/>
      <c r="BO48" s="200"/>
      <c r="BP48" s="200"/>
      <c r="BQ48" s="200"/>
      <c r="BR48" s="200"/>
    </row>
    <row r="49" spans="1:70" x14ac:dyDescent="0.25">
      <c r="A49" s="172">
        <v>1121</v>
      </c>
      <c r="E49" s="177"/>
      <c r="F49" s="177"/>
      <c r="I49"/>
      <c r="J49"/>
      <c r="K49"/>
      <c r="L49"/>
      <c r="M49" s="198"/>
      <c r="N49" s="198"/>
      <c r="O49" s="198"/>
      <c r="P49" s="198"/>
      <c r="Q49" s="199"/>
      <c r="S49" s="172">
        <v>7</v>
      </c>
      <c r="T49" s="172">
        <v>52</v>
      </c>
      <c r="U49" s="172">
        <v>24</v>
      </c>
      <c r="V49" s="172">
        <v>8736</v>
      </c>
      <c r="AB49" s="172">
        <v>15.14</v>
      </c>
      <c r="AE49" t="e">
        <v>#N/A</v>
      </c>
      <c r="AF49" t="e">
        <v>#N/A</v>
      </c>
      <c r="AI49" s="190" t="e">
        <v>#N/A</v>
      </c>
      <c r="AJ49" s="190" t="e">
        <v>#N/A</v>
      </c>
      <c r="AL49" s="172" t="e">
        <v>#N/A</v>
      </c>
      <c r="AM49" s="172" t="e">
        <v>#N/A</v>
      </c>
      <c r="AN49" s="172" t="e">
        <v>#N/A</v>
      </c>
      <c r="AO49" s="172" t="e">
        <v>#N/A</v>
      </c>
      <c r="AP49" s="172" t="e">
        <v>#N/A</v>
      </c>
      <c r="AQ49" s="172" t="e">
        <v>#N/A</v>
      </c>
      <c r="AR49" s="172" t="e">
        <v>#N/A</v>
      </c>
      <c r="AS49" s="172" t="e">
        <v>#N/A</v>
      </c>
      <c r="AT49" s="172" t="e">
        <v>#N/A</v>
      </c>
      <c r="AU49" s="172" t="e">
        <v>#N/A</v>
      </c>
      <c r="AV49" s="172" t="e">
        <v>#N/A</v>
      </c>
      <c r="AW49" s="217"/>
      <c r="AY49" s="33"/>
      <c r="AZ49" s="51"/>
      <c r="BA49" s="51"/>
      <c r="BB49" s="33"/>
      <c r="BC49" s="11"/>
      <c r="BD49" s="17"/>
      <c r="BE49" s="33"/>
      <c r="BF49" s="33"/>
      <c r="BG49" s="33"/>
      <c r="BH49" s="33"/>
      <c r="BI49" s="33"/>
      <c r="BJ49" s="11"/>
      <c r="BK49" s="33"/>
      <c r="BL49" s="200"/>
      <c r="BM49" s="200"/>
      <c r="BN49" s="200"/>
      <c r="BO49" s="200"/>
      <c r="BP49" s="200"/>
      <c r="BQ49" s="200"/>
      <c r="BR49" s="200"/>
    </row>
    <row r="50" spans="1:70" x14ac:dyDescent="0.25">
      <c r="A50" s="172">
        <v>1121</v>
      </c>
      <c r="E50" s="177"/>
      <c r="F50" s="177"/>
      <c r="I50"/>
      <c r="J50"/>
      <c r="K50"/>
      <c r="L50"/>
      <c r="M50" s="198"/>
      <c r="N50" s="198"/>
      <c r="O50" s="198"/>
      <c r="P50" s="198"/>
      <c r="Q50" s="199"/>
      <c r="S50" s="172">
        <v>7</v>
      </c>
      <c r="T50" s="172">
        <v>52</v>
      </c>
      <c r="U50" s="172">
        <v>24</v>
      </c>
      <c r="V50" s="172">
        <v>8736</v>
      </c>
      <c r="AB50" s="172">
        <v>15.14</v>
      </c>
      <c r="AE50" t="e">
        <v>#N/A</v>
      </c>
      <c r="AF50" t="e">
        <v>#N/A</v>
      </c>
      <c r="AI50" s="190" t="e">
        <v>#N/A</v>
      </c>
      <c r="AJ50" s="190" t="e">
        <v>#N/A</v>
      </c>
      <c r="AL50" s="172" t="e">
        <v>#N/A</v>
      </c>
      <c r="AM50" s="172" t="e">
        <v>#N/A</v>
      </c>
      <c r="AN50" s="172" t="e">
        <v>#N/A</v>
      </c>
      <c r="AO50" s="172" t="e">
        <v>#N/A</v>
      </c>
      <c r="AP50" s="172" t="e">
        <v>#N/A</v>
      </c>
      <c r="AQ50" s="172" t="e">
        <v>#N/A</v>
      </c>
      <c r="AR50" s="172" t="e">
        <v>#N/A</v>
      </c>
      <c r="AS50" s="172" t="e">
        <v>#N/A</v>
      </c>
      <c r="AT50" s="172" t="e">
        <v>#N/A</v>
      </c>
      <c r="AU50" s="172" t="e">
        <v>#N/A</v>
      </c>
      <c r="AV50" s="172" t="e">
        <v>#N/A</v>
      </c>
      <c r="AW50" s="217"/>
      <c r="AY50" s="33"/>
      <c r="AZ50" s="51"/>
      <c r="BA50" s="51"/>
      <c r="BB50" s="33"/>
      <c r="BC50" s="11"/>
      <c r="BD50" s="17"/>
      <c r="BE50" s="33"/>
      <c r="BF50" s="33"/>
      <c r="BG50" s="33"/>
      <c r="BH50" s="33"/>
      <c r="BI50" s="33"/>
      <c r="BJ50" s="11"/>
      <c r="BK50" s="33"/>
      <c r="BL50" s="200"/>
      <c r="BM50" s="200"/>
      <c r="BN50" s="200"/>
      <c r="BO50" s="200"/>
      <c r="BP50" s="200"/>
      <c r="BQ50" s="200"/>
      <c r="BR50" s="200"/>
    </row>
    <row r="51" spans="1:70" x14ac:dyDescent="0.25">
      <c r="A51" s="172">
        <v>1121</v>
      </c>
      <c r="E51" s="177"/>
      <c r="F51" s="177"/>
      <c r="I51"/>
      <c r="J51"/>
      <c r="K51"/>
      <c r="L51"/>
      <c r="M51" s="198"/>
      <c r="N51" s="198"/>
      <c r="O51" s="198"/>
      <c r="P51" s="198"/>
      <c r="Q51" s="199"/>
      <c r="S51" s="172">
        <v>7</v>
      </c>
      <c r="T51" s="172">
        <v>52</v>
      </c>
      <c r="U51" s="172">
        <v>24</v>
      </c>
      <c r="V51" s="172">
        <v>8736</v>
      </c>
      <c r="AB51" s="172">
        <v>15.14</v>
      </c>
      <c r="AE51" t="e">
        <v>#N/A</v>
      </c>
      <c r="AF51" t="e">
        <v>#N/A</v>
      </c>
      <c r="AI51" s="190" t="e">
        <v>#N/A</v>
      </c>
      <c r="AJ51" s="190" t="e">
        <v>#N/A</v>
      </c>
      <c r="AL51" s="172" t="e">
        <v>#N/A</v>
      </c>
      <c r="AM51" s="172" t="e">
        <v>#N/A</v>
      </c>
      <c r="AN51" s="172" t="e">
        <v>#N/A</v>
      </c>
      <c r="AO51" s="172" t="e">
        <v>#N/A</v>
      </c>
      <c r="AP51" s="172" t="e">
        <v>#N/A</v>
      </c>
      <c r="AQ51" s="172" t="e">
        <v>#N/A</v>
      </c>
      <c r="AR51" s="172" t="e">
        <v>#N/A</v>
      </c>
      <c r="AS51" s="172" t="e">
        <v>#N/A</v>
      </c>
      <c r="AT51" s="172" t="e">
        <v>#N/A</v>
      </c>
      <c r="AU51" s="172" t="e">
        <v>#N/A</v>
      </c>
      <c r="AV51" s="172" t="e">
        <v>#N/A</v>
      </c>
      <c r="AW51" s="217"/>
      <c r="AY51" s="33"/>
      <c r="AZ51" s="51"/>
      <c r="BA51" s="51"/>
      <c r="BB51" s="33"/>
      <c r="BC51" s="11"/>
      <c r="BD51" s="17"/>
      <c r="BE51" s="33"/>
      <c r="BF51" s="33"/>
      <c r="BG51" s="33"/>
      <c r="BH51" s="33"/>
      <c r="BI51" s="33"/>
      <c r="BJ51" s="11"/>
      <c r="BK51" s="33"/>
      <c r="BL51" s="200"/>
      <c r="BM51" s="200"/>
      <c r="BN51" s="200"/>
      <c r="BO51" s="200"/>
      <c r="BP51" s="200"/>
      <c r="BQ51" s="200"/>
      <c r="BR51" s="200"/>
    </row>
    <row r="52" spans="1:70" x14ac:dyDescent="0.25">
      <c r="A52" s="173">
        <v>1121</v>
      </c>
      <c r="B52" s="7"/>
      <c r="C52" s="173"/>
      <c r="D52" s="173"/>
      <c r="E52" s="193"/>
      <c r="F52" s="193"/>
      <c r="G52" s="173"/>
      <c r="H52" s="173"/>
      <c r="I52" s="7"/>
      <c r="J52" s="7"/>
      <c r="K52" s="7"/>
      <c r="L52" s="7"/>
      <c r="M52" s="204"/>
      <c r="N52" s="204"/>
      <c r="O52" s="204"/>
      <c r="P52" s="204"/>
      <c r="Q52" s="195"/>
      <c r="R52" s="7"/>
      <c r="S52" s="173">
        <v>7</v>
      </c>
      <c r="T52" s="173">
        <v>52</v>
      </c>
      <c r="U52" s="173">
        <v>24</v>
      </c>
      <c r="V52" s="173">
        <v>5627</v>
      </c>
      <c r="W52" s="173"/>
      <c r="X52" s="173"/>
      <c r="Y52" s="173"/>
      <c r="Z52" s="173"/>
      <c r="AA52" s="173"/>
      <c r="AB52" s="173">
        <v>15.14</v>
      </c>
      <c r="AC52" s="173"/>
      <c r="AD52" s="7"/>
      <c r="AE52" s="7" t="e">
        <v>#N/A</v>
      </c>
      <c r="AF52" s="7" t="e">
        <v>#N/A</v>
      </c>
      <c r="AG52" s="7"/>
      <c r="AH52" s="7"/>
      <c r="AI52" s="197" t="e">
        <v>#N/A</v>
      </c>
      <c r="AJ52" s="197" t="e">
        <v>#N/A</v>
      </c>
      <c r="AK52" s="7"/>
      <c r="AL52" s="173" t="e">
        <v>#N/A</v>
      </c>
      <c r="AM52" s="173" t="e">
        <v>#N/A</v>
      </c>
      <c r="AN52" s="173" t="e">
        <v>#N/A</v>
      </c>
      <c r="AO52" s="173" t="e">
        <v>#N/A</v>
      </c>
      <c r="AP52" s="173" t="e">
        <v>#N/A</v>
      </c>
      <c r="AQ52" s="173" t="e">
        <v>#N/A</v>
      </c>
      <c r="AR52" s="173" t="e">
        <v>#N/A</v>
      </c>
      <c r="AS52" s="173" t="e">
        <v>#N/A</v>
      </c>
      <c r="AT52" s="173" t="e">
        <v>#N/A</v>
      </c>
      <c r="AU52" s="173" t="e">
        <v>#N/A</v>
      </c>
      <c r="AV52" s="173" t="e">
        <v>#N/A</v>
      </c>
      <c r="AW52" s="173"/>
      <c r="AY52" s="33"/>
      <c r="AZ52" s="51"/>
      <c r="BA52" s="51"/>
      <c r="BB52" s="33"/>
      <c r="BC52" s="11"/>
      <c r="BD52" s="17"/>
    </row>
    <row r="53" spans="1:70" x14ac:dyDescent="0.25">
      <c r="M53" s="49"/>
      <c r="Q53" s="219"/>
    </row>
    <row r="55" spans="1:70" x14ac:dyDescent="0.25">
      <c r="AX55" s="262"/>
      <c r="AY55" s="262"/>
      <c r="AZ55" s="262"/>
      <c r="BA55" s="262"/>
      <c r="BB55" s="262"/>
      <c r="BC55" s="262"/>
      <c r="BD55" s="262"/>
      <c r="BE55" s="262" t="s">
        <v>448</v>
      </c>
      <c r="BF55" s="262"/>
      <c r="BG55" s="262"/>
      <c r="BH55" s="262"/>
      <c r="BI55" s="262"/>
      <c r="BJ55" s="262"/>
      <c r="BK55" s="262"/>
      <c r="BL55" s="262" t="s">
        <v>449</v>
      </c>
      <c r="BM55" s="262"/>
      <c r="BN55" s="262"/>
      <c r="BO55" s="262"/>
      <c r="BP55" s="262"/>
      <c r="BQ55" s="262"/>
      <c r="BR55" s="262"/>
    </row>
    <row r="56" spans="1:70" ht="30" x14ac:dyDescent="0.25"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220"/>
      <c r="AY56" s="220"/>
      <c r="AZ56" s="220"/>
      <c r="BA56" s="220"/>
      <c r="BB56" s="220"/>
      <c r="BC56" s="220"/>
      <c r="BD56" s="220"/>
      <c r="BE56" s="220" t="s">
        <v>31</v>
      </c>
      <c r="BF56" s="220" t="s">
        <v>30</v>
      </c>
      <c r="BG56" s="220" t="s">
        <v>29</v>
      </c>
      <c r="BH56" s="220" t="s">
        <v>336</v>
      </c>
      <c r="BI56" s="220" t="s">
        <v>27</v>
      </c>
      <c r="BJ56" s="220" t="s">
        <v>33</v>
      </c>
      <c r="BK56" s="220" t="s">
        <v>32</v>
      </c>
      <c r="BL56" s="220" t="s">
        <v>31</v>
      </c>
      <c r="BM56" s="220" t="s">
        <v>30</v>
      </c>
      <c r="BN56" s="220" t="s">
        <v>29</v>
      </c>
      <c r="BO56" s="220" t="s">
        <v>336</v>
      </c>
      <c r="BP56" s="220" t="s">
        <v>27</v>
      </c>
      <c r="BQ56" s="220" t="s">
        <v>33</v>
      </c>
      <c r="BR56" s="220" t="s">
        <v>32</v>
      </c>
    </row>
    <row r="57" spans="1:70" x14ac:dyDescent="0.25">
      <c r="Q57" s="199">
        <f>SUM(Q23:Q28)</f>
        <v>1206348</v>
      </c>
      <c r="AD57" t="s">
        <v>423</v>
      </c>
      <c r="AW57" s="172">
        <v>109</v>
      </c>
      <c r="AX57" s="51"/>
      <c r="AY57" s="51"/>
      <c r="AZ57" s="51"/>
      <c r="BA57" s="51"/>
      <c r="BB57" s="51"/>
      <c r="BC57" s="51"/>
      <c r="BD57" s="51"/>
      <c r="BE57" s="51">
        <f t="shared" ref="BE57:BK57" si="12">SUM(BE23:BE28)</f>
        <v>0.99723982461000005</v>
      </c>
      <c r="BF57" s="51">
        <f t="shared" si="12"/>
        <v>0.99723982461000005</v>
      </c>
      <c r="BG57" s="221">
        <f t="shared" si="12"/>
        <v>7.8400556520000002</v>
      </c>
      <c r="BH57" s="51">
        <f t="shared" si="12"/>
        <v>73.043918041400005</v>
      </c>
      <c r="BI57" s="51">
        <f t="shared" si="12"/>
        <v>3.5684361342924999E-2</v>
      </c>
      <c r="BJ57" s="51">
        <f t="shared" si="12"/>
        <v>0.29155373370525001</v>
      </c>
      <c r="BK57" s="51">
        <f t="shared" si="12"/>
        <v>0.48253920000000006</v>
      </c>
      <c r="BL57" s="222">
        <v>6.230354262262508E-2</v>
      </c>
      <c r="BM57" s="222">
        <v>6.2299895219324247E-2</v>
      </c>
      <c r="BN57" s="222">
        <v>0.75005853214294538</v>
      </c>
      <c r="BO57" s="222">
        <v>1.3191315948178486</v>
      </c>
      <c r="BP57" s="222">
        <v>0.26364189617421391</v>
      </c>
      <c r="BQ57" s="223" t="s">
        <v>150</v>
      </c>
      <c r="BR57" s="222">
        <v>1.4433190408664549</v>
      </c>
    </row>
    <row r="58" spans="1:70" x14ac:dyDescent="0.25">
      <c r="Q58" s="199">
        <f>SUM(Q29:Q37)</f>
        <v>31703630.699999999</v>
      </c>
      <c r="AD58" t="s">
        <v>434</v>
      </c>
      <c r="AW58" s="172">
        <v>110</v>
      </c>
      <c r="AX58" s="51"/>
      <c r="AY58" s="51"/>
      <c r="AZ58" s="51"/>
      <c r="BA58" s="51"/>
      <c r="BB58" s="51"/>
      <c r="BC58" s="51"/>
      <c r="BD58" s="51"/>
      <c r="BE58" s="51">
        <f t="shared" ref="BE58:BK58" si="13">SUM(BE29:BE37)</f>
        <v>23.953811772173999</v>
      </c>
      <c r="BF58" s="51">
        <f t="shared" si="13"/>
        <v>23.953811772173999</v>
      </c>
      <c r="BG58" s="221">
        <f t="shared" si="13"/>
        <v>72.561988543200002</v>
      </c>
      <c r="BH58" s="51">
        <f t="shared" si="13"/>
        <v>887.76436197371993</v>
      </c>
      <c r="BI58" s="51">
        <f t="shared" si="13"/>
        <v>0.295104711514805</v>
      </c>
      <c r="BJ58" s="51">
        <f t="shared" si="13"/>
        <v>105.28305768405755</v>
      </c>
      <c r="BK58" s="51">
        <f t="shared" si="13"/>
        <v>12.677542000000001</v>
      </c>
      <c r="BL58" s="222">
        <v>0.1973361908561386</v>
      </c>
      <c r="BM58" s="222">
        <v>0.1973361908561386</v>
      </c>
      <c r="BN58" s="222">
        <v>0.8327706917575296</v>
      </c>
      <c r="BO58" s="222">
        <v>1.2504189072191352</v>
      </c>
      <c r="BP58" s="222">
        <v>0.38981881277992114</v>
      </c>
      <c r="BQ58" s="223" t="s">
        <v>150</v>
      </c>
      <c r="BR58" s="222">
        <v>1.104689831167283</v>
      </c>
    </row>
    <row r="59" spans="1:70" x14ac:dyDescent="0.25">
      <c r="AW59" s="172"/>
      <c r="AX59" s="51"/>
      <c r="AY59" s="51"/>
      <c r="AZ59" s="51"/>
      <c r="BA59" s="51"/>
      <c r="BB59" s="51"/>
      <c r="BC59" s="11"/>
      <c r="BD59" s="51"/>
      <c r="BE59" s="51"/>
      <c r="BF59" s="51"/>
      <c r="BG59" s="51"/>
      <c r="BH59" s="51"/>
      <c r="BI59" s="51"/>
      <c r="BJ59" s="11"/>
      <c r="BK59" s="51"/>
      <c r="BL59" s="51"/>
      <c r="BM59" s="51"/>
      <c r="BN59" s="51"/>
      <c r="BO59" s="51"/>
      <c r="BP59" s="51"/>
      <c r="BQ59" s="51"/>
      <c r="BR59" s="51"/>
    </row>
    <row r="60" spans="1:70" x14ac:dyDescent="0.25">
      <c r="P60" s="2" t="s">
        <v>450</v>
      </c>
      <c r="AW60" s="172"/>
      <c r="AX60" s="51"/>
      <c r="AY60" s="51"/>
      <c r="AZ60" s="51"/>
      <c r="BA60" s="51"/>
      <c r="BB60" s="51"/>
      <c r="BC60" s="11"/>
      <c r="BD60" s="51"/>
      <c r="BE60" s="51"/>
      <c r="BF60" s="51"/>
      <c r="BG60" s="51"/>
      <c r="BH60" s="51"/>
      <c r="BI60" s="51"/>
      <c r="BJ60" s="11"/>
      <c r="BK60" s="51"/>
      <c r="BL60" s="51"/>
      <c r="BM60" s="51"/>
      <c r="BN60" s="51"/>
      <c r="BO60" s="51"/>
      <c r="BP60" s="51"/>
      <c r="BQ60" s="51"/>
      <c r="BR60" s="51"/>
    </row>
    <row r="61" spans="1:70" x14ac:dyDescent="0.25">
      <c r="Q61" s="173" t="s">
        <v>451</v>
      </c>
      <c r="R61" s="7" t="s">
        <v>81</v>
      </c>
      <c r="W61" s="173"/>
      <c r="X61" s="173" t="s">
        <v>452</v>
      </c>
      <c r="AW61" s="172"/>
      <c r="AX61" s="51"/>
      <c r="AY61" s="51"/>
      <c r="AZ61" s="51"/>
      <c r="BA61" s="51"/>
      <c r="BB61" s="51"/>
      <c r="BC61" s="11"/>
      <c r="BD61" s="51"/>
      <c r="BE61" s="51"/>
      <c r="BF61" s="224" t="s">
        <v>453</v>
      </c>
      <c r="BG61" s="225">
        <f>(SUM('AnnEmis2016-GVEA'!BG57:BG58)-SUM(BG57:BG58))/SUM('AnnEmis2016-GVEA'!BG57:BG58)</f>
        <v>0.70425777032861481</v>
      </c>
      <c r="BH61" s="51"/>
      <c r="BI61" s="51"/>
      <c r="BJ61" s="11"/>
      <c r="BK61" s="51"/>
      <c r="BL61" s="51"/>
      <c r="BM61" s="51"/>
      <c r="BN61" s="51"/>
      <c r="BO61" s="51"/>
      <c r="BP61" s="51"/>
      <c r="BQ61" s="51"/>
      <c r="BR61" s="51"/>
    </row>
    <row r="62" spans="1:70" x14ac:dyDescent="0.25">
      <c r="Q62" s="199">
        <v>0</v>
      </c>
      <c r="R62" t="s">
        <v>454</v>
      </c>
      <c r="BF62" t="s">
        <v>455</v>
      </c>
    </row>
    <row r="63" spans="1:70" x14ac:dyDescent="0.25">
      <c r="Q63" s="199">
        <f>SUM(Q24,Q26:Q27,Q30,Q32)</f>
        <v>9123846</v>
      </c>
      <c r="R63" t="s">
        <v>456</v>
      </c>
      <c r="X63" s="172">
        <f>X24*10^4</f>
        <v>3790</v>
      </c>
      <c r="BF63" t="s">
        <v>457</v>
      </c>
      <c r="BG63" s="33">
        <v>0.23845205790373</v>
      </c>
    </row>
    <row r="64" spans="1:70" x14ac:dyDescent="0.25">
      <c r="Q64" s="199">
        <f>SUM(Q23,Q25,Q29,Q31,Q33)</f>
        <v>2613699</v>
      </c>
      <c r="R64" t="s">
        <v>458</v>
      </c>
      <c r="X64" s="172">
        <f>X23*10^4</f>
        <v>970</v>
      </c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BF64" t="s">
        <v>459</v>
      </c>
      <c r="BG64" s="33">
        <v>1.6892376002476421</v>
      </c>
    </row>
    <row r="65" spans="17:60" x14ac:dyDescent="0.25">
      <c r="Q65" s="199">
        <f>Q35</f>
        <v>0</v>
      </c>
      <c r="R65" t="s">
        <v>460</v>
      </c>
      <c r="X65" s="172">
        <f>X35*10^4</f>
        <v>970</v>
      </c>
      <c r="BF65" t="s">
        <v>151</v>
      </c>
      <c r="BG65" s="33">
        <f>SUBTOTAL(9,BG63:BG64)</f>
        <v>1.9276896581513721</v>
      </c>
    </row>
    <row r="66" spans="17:60" x14ac:dyDescent="0.25">
      <c r="Q66" s="195">
        <f>Q34</f>
        <v>21162658</v>
      </c>
      <c r="R66" s="7" t="s">
        <v>461</v>
      </c>
      <c r="W66" s="173"/>
      <c r="X66" s="173">
        <f>X34*10^4</f>
        <v>23.999999999999996</v>
      </c>
      <c r="BF66" s="11" t="s">
        <v>540</v>
      </c>
      <c r="BG66" s="33">
        <f>BG65*BG61</f>
        <v>1.3575904205352149</v>
      </c>
      <c r="BH66" t="s">
        <v>539</v>
      </c>
    </row>
    <row r="67" spans="17:60" x14ac:dyDescent="0.25">
      <c r="Q67" s="226">
        <f>SUM(Q62:Q66)</f>
        <v>32900203</v>
      </c>
      <c r="R67" t="s">
        <v>462</v>
      </c>
      <c r="BF67" s="11" t="s">
        <v>538</v>
      </c>
      <c r="BG67" s="33">
        <f>PopnFactors!D12</f>
        <v>1.0844382461623339</v>
      </c>
    </row>
    <row r="68" spans="17:60" x14ac:dyDescent="0.25">
      <c r="BF68" s="1" t="s">
        <v>540</v>
      </c>
      <c r="BG68" s="253">
        <f>BG66*BG67</f>
        <v>1.4722229746519937</v>
      </c>
      <c r="BH68" s="2" t="s">
        <v>541</v>
      </c>
    </row>
    <row r="69" spans="17:60" x14ac:dyDescent="0.25">
      <c r="W69" s="1" t="s">
        <v>463</v>
      </c>
      <c r="X69" s="227">
        <f>SUMPRODUCT(Q62:Q66,X62:X66)/Q67</f>
        <v>1143.5360493672333</v>
      </c>
    </row>
  </sheetData>
  <autoFilter ref="A5:BR52">
    <filterColumn colId="6">
      <filters>
        <filter val="P"/>
      </filters>
    </filterColumn>
  </autoFilter>
  <mergeCells count="9">
    <mergeCell ref="AX55:BD55"/>
    <mergeCell ref="BE55:BK55"/>
    <mergeCell ref="BL55:BR55"/>
    <mergeCell ref="I4:L4"/>
    <mergeCell ref="M4:AD4"/>
    <mergeCell ref="AE4:AV4"/>
    <mergeCell ref="AX4:BD4"/>
    <mergeCell ref="BE4:BK4"/>
    <mergeCell ref="BL4:BR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CC"/>
  </sheetPr>
  <dimension ref="A3:BR69"/>
  <sheetViews>
    <sheetView topLeftCell="I1" zoomScale="85" zoomScaleNormal="85" workbookViewId="0">
      <pane ySplit="5" topLeftCell="A6" activePane="bottomLeft" state="frozen"/>
      <selection activeCell="BG66" sqref="BG66"/>
      <selection pane="bottomLeft" activeCell="BH57" sqref="BH57"/>
    </sheetView>
  </sheetViews>
  <sheetFormatPr defaultColWidth="9" defaultRowHeight="15" x14ac:dyDescent="0.25"/>
  <cols>
    <col min="1" max="1" width="9.140625" customWidth="1"/>
    <col min="2" max="2" width="45.7109375" customWidth="1"/>
    <col min="3" max="6" width="10.7109375" style="172" customWidth="1"/>
    <col min="7" max="7" width="9.140625" style="172" customWidth="1"/>
    <col min="8" max="8" width="22" style="172" customWidth="1"/>
    <col min="9" max="9" width="29.28515625" style="172" customWidth="1"/>
    <col min="10" max="10" width="30.28515625" style="172" customWidth="1"/>
    <col min="11" max="11" width="9.140625" style="172" customWidth="1"/>
    <col min="12" max="12" width="23.42578125" style="172" customWidth="1"/>
    <col min="13" max="17" width="10.7109375" style="172" customWidth="1"/>
    <col min="18" max="18" width="14.42578125" customWidth="1"/>
    <col min="19" max="22" width="9.140625" style="172" hidden="1" customWidth="1"/>
    <col min="23" max="23" width="9.140625" style="172" customWidth="1"/>
    <col min="24" max="24" width="9" style="172" customWidth="1"/>
    <col min="25" max="25" width="9.140625" style="172" hidden="1" customWidth="1"/>
    <col min="26" max="26" width="9.7109375" style="172" customWidth="1"/>
    <col min="27" max="28" width="9.140625" style="172" hidden="1" customWidth="1"/>
    <col min="29" max="29" width="12.5703125" style="172" hidden="1" customWidth="1"/>
    <col min="30" max="30" width="53.42578125" customWidth="1"/>
    <col min="31" max="31" width="42.28515625" hidden="1" customWidth="1"/>
    <col min="32" max="32" width="21.7109375" hidden="1" customWidth="1"/>
    <col min="33" max="34" width="0" hidden="1" customWidth="1"/>
    <col min="35" max="36" width="12.7109375" hidden="1" customWidth="1"/>
    <col min="37" max="37" width="0" hidden="1" customWidth="1"/>
    <col min="38" max="38" width="11.42578125" hidden="1" customWidth="1"/>
    <col min="39" max="39" width="0" hidden="1" customWidth="1"/>
    <col min="40" max="40" width="16.7109375" hidden="1" customWidth="1"/>
    <col min="41" max="41" width="9.28515625" hidden="1" customWidth="1"/>
    <col min="42" max="42" width="10.28515625" hidden="1" customWidth="1"/>
    <col min="43" max="43" width="13.28515625" hidden="1" customWidth="1"/>
    <col min="44" max="44" width="9.42578125" hidden="1" customWidth="1"/>
    <col min="45" max="45" width="11.140625" hidden="1" customWidth="1"/>
    <col min="46" max="46" width="10" hidden="1" customWidth="1"/>
    <col min="47" max="48" width="0" hidden="1" customWidth="1"/>
    <col min="49" max="49" width="14.42578125" customWidth="1"/>
    <col min="54" max="54" width="9" customWidth="1"/>
  </cols>
  <sheetData>
    <row r="3" spans="1:70" x14ac:dyDescent="0.25">
      <c r="M3" s="177" t="s">
        <v>362</v>
      </c>
      <c r="N3" s="177" t="s">
        <v>363</v>
      </c>
      <c r="O3" s="177" t="s">
        <v>364</v>
      </c>
      <c r="P3" s="177" t="s">
        <v>365</v>
      </c>
    </row>
    <row r="4" spans="1:70" x14ac:dyDescent="0.25">
      <c r="I4" s="272" t="s">
        <v>366</v>
      </c>
      <c r="J4" s="272"/>
      <c r="K4" s="272"/>
      <c r="L4" s="272"/>
      <c r="M4" s="272" t="s">
        <v>367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 t="s">
        <v>368</v>
      </c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178"/>
      <c r="AX4" s="272" t="s">
        <v>369</v>
      </c>
      <c r="AY4" s="272"/>
      <c r="AZ4" s="272"/>
      <c r="BA4" s="272"/>
      <c r="BB4" s="272"/>
      <c r="BC4" s="272"/>
      <c r="BD4" s="272"/>
      <c r="BE4" s="272" t="s">
        <v>370</v>
      </c>
      <c r="BF4" s="272"/>
      <c r="BG4" s="272"/>
      <c r="BH4" s="272"/>
      <c r="BI4" s="272"/>
      <c r="BJ4" s="272"/>
      <c r="BK4" s="272"/>
      <c r="BL4" s="272" t="s">
        <v>260</v>
      </c>
      <c r="BM4" s="272"/>
      <c r="BN4" s="272"/>
      <c r="BO4" s="272"/>
      <c r="BP4" s="272"/>
      <c r="BQ4" s="272"/>
      <c r="BR4" s="272"/>
    </row>
    <row r="5" spans="1:70" s="186" customFormat="1" ht="45" customHeight="1" thickBot="1" x14ac:dyDescent="0.3">
      <c r="A5" s="179" t="s">
        <v>371</v>
      </c>
      <c r="B5" s="179" t="s">
        <v>372</v>
      </c>
      <c r="C5" s="179" t="s">
        <v>373</v>
      </c>
      <c r="D5" s="179" t="s">
        <v>374</v>
      </c>
      <c r="E5" s="180" t="s">
        <v>375</v>
      </c>
      <c r="F5" s="180" t="s">
        <v>376</v>
      </c>
      <c r="G5" s="179" t="s">
        <v>377</v>
      </c>
      <c r="H5" s="179" t="s">
        <v>378</v>
      </c>
      <c r="I5" s="179" t="s">
        <v>379</v>
      </c>
      <c r="J5" s="179" t="s">
        <v>380</v>
      </c>
      <c r="K5" s="179" t="s">
        <v>381</v>
      </c>
      <c r="L5" s="179" t="s">
        <v>382</v>
      </c>
      <c r="M5" s="181" t="s">
        <v>383</v>
      </c>
      <c r="N5" s="181" t="s">
        <v>384</v>
      </c>
      <c r="O5" s="181" t="s">
        <v>385</v>
      </c>
      <c r="P5" s="181" t="s">
        <v>386</v>
      </c>
      <c r="Q5" s="182" t="s">
        <v>387</v>
      </c>
      <c r="R5" s="179" t="s">
        <v>388</v>
      </c>
      <c r="S5" s="179" t="s">
        <v>389</v>
      </c>
      <c r="T5" s="179" t="s">
        <v>390</v>
      </c>
      <c r="U5" s="179" t="s">
        <v>391</v>
      </c>
      <c r="V5" s="179" t="s">
        <v>392</v>
      </c>
      <c r="W5" s="179" t="s">
        <v>393</v>
      </c>
      <c r="X5" s="179" t="s">
        <v>394</v>
      </c>
      <c r="Y5" s="179" t="s">
        <v>395</v>
      </c>
      <c r="Z5" s="179" t="s">
        <v>396</v>
      </c>
      <c r="AA5" s="179" t="s">
        <v>397</v>
      </c>
      <c r="AB5" s="179" t="s">
        <v>398</v>
      </c>
      <c r="AC5" s="179" t="s">
        <v>399</v>
      </c>
      <c r="AD5" s="179" t="s">
        <v>156</v>
      </c>
      <c r="AE5" s="183" t="s">
        <v>400</v>
      </c>
      <c r="AF5" s="183" t="s">
        <v>401</v>
      </c>
      <c r="AG5" s="183" t="s">
        <v>402</v>
      </c>
      <c r="AH5" s="183" t="s">
        <v>403</v>
      </c>
      <c r="AI5" s="183" t="s">
        <v>404</v>
      </c>
      <c r="AJ5" s="183" t="s">
        <v>405</v>
      </c>
      <c r="AK5" s="183" t="s">
        <v>406</v>
      </c>
      <c r="AL5" s="183" t="s">
        <v>407</v>
      </c>
      <c r="AM5" s="183" t="s">
        <v>408</v>
      </c>
      <c r="AN5" s="183" t="s">
        <v>409</v>
      </c>
      <c r="AO5" s="183" t="s">
        <v>410</v>
      </c>
      <c r="AP5" s="183" t="s">
        <v>411</v>
      </c>
      <c r="AQ5" s="183" t="s">
        <v>412</v>
      </c>
      <c r="AR5" s="183" t="s">
        <v>413</v>
      </c>
      <c r="AS5" s="183" t="s">
        <v>414</v>
      </c>
      <c r="AT5" s="183" t="s">
        <v>415</v>
      </c>
      <c r="AU5" s="184" t="s">
        <v>416</v>
      </c>
      <c r="AV5" s="184" t="s">
        <v>417</v>
      </c>
      <c r="AW5" s="185" t="s">
        <v>418</v>
      </c>
      <c r="AX5" s="179" t="s">
        <v>31</v>
      </c>
      <c r="AY5" s="179" t="s">
        <v>30</v>
      </c>
      <c r="AZ5" s="179" t="s">
        <v>29</v>
      </c>
      <c r="BA5" s="179" t="s">
        <v>336</v>
      </c>
      <c r="BB5" s="179" t="s">
        <v>27</v>
      </c>
      <c r="BC5" s="179" t="s">
        <v>33</v>
      </c>
      <c r="BD5" s="179" t="s">
        <v>32</v>
      </c>
      <c r="BE5" s="179" t="s">
        <v>31</v>
      </c>
      <c r="BF5" s="179" t="s">
        <v>30</v>
      </c>
      <c r="BG5" s="179" t="s">
        <v>29</v>
      </c>
      <c r="BH5" s="179" t="s">
        <v>336</v>
      </c>
      <c r="BI5" s="179" t="s">
        <v>27</v>
      </c>
      <c r="BJ5" s="179" t="s">
        <v>33</v>
      </c>
      <c r="BK5" s="179" t="s">
        <v>32</v>
      </c>
      <c r="BL5" s="179" t="s">
        <v>31</v>
      </c>
      <c r="BM5" s="179" t="s">
        <v>30</v>
      </c>
      <c r="BN5" s="179" t="s">
        <v>29</v>
      </c>
      <c r="BO5" s="179" t="s">
        <v>336</v>
      </c>
      <c r="BP5" s="179" t="s">
        <v>27</v>
      </c>
      <c r="BQ5" s="179" t="s">
        <v>33</v>
      </c>
      <c r="BR5" s="179" t="s">
        <v>32</v>
      </c>
    </row>
    <row r="6" spans="1:70" ht="15.75" thickTop="1" x14ac:dyDescent="0.25">
      <c r="A6" s="172"/>
      <c r="B6" s="187"/>
      <c r="E6" s="177"/>
      <c r="F6" s="177"/>
      <c r="I6"/>
      <c r="J6"/>
      <c r="K6"/>
      <c r="L6"/>
      <c r="M6" s="47"/>
      <c r="N6" s="47"/>
      <c r="O6" s="47"/>
      <c r="P6" s="47"/>
      <c r="Q6" s="188"/>
      <c r="R6" s="189"/>
      <c r="S6" s="172">
        <v>7</v>
      </c>
      <c r="T6" s="172">
        <v>52</v>
      </c>
      <c r="U6" s="172">
        <v>24</v>
      </c>
      <c r="V6" s="172">
        <v>8760</v>
      </c>
      <c r="Y6" s="172">
        <v>0</v>
      </c>
      <c r="AA6" s="172">
        <v>54</v>
      </c>
      <c r="AE6" t="e">
        <v>#N/A</v>
      </c>
      <c r="AF6" t="e">
        <v>#N/A</v>
      </c>
      <c r="AI6" s="190" t="e">
        <v>#N/A</v>
      </c>
      <c r="AJ6" s="190" t="e">
        <v>#N/A</v>
      </c>
      <c r="AL6" s="172" t="e">
        <v>#N/A</v>
      </c>
      <c r="AM6" s="172" t="e">
        <v>#N/A</v>
      </c>
      <c r="AN6" s="172" t="e">
        <v>#N/A</v>
      </c>
      <c r="AO6" s="172" t="e">
        <v>#N/A</v>
      </c>
      <c r="AP6" s="172" t="e">
        <v>#N/A</v>
      </c>
      <c r="AQ6" s="172" t="e">
        <v>#N/A</v>
      </c>
      <c r="AR6" s="172" t="e">
        <v>#N/A</v>
      </c>
      <c r="AS6" s="172" t="e">
        <v>#N/A</v>
      </c>
      <c r="AT6" s="172" t="e">
        <v>#N/A</v>
      </c>
      <c r="AU6" s="172" t="e">
        <v>#N/A</v>
      </c>
      <c r="AV6" s="172" t="e">
        <v>#N/A</v>
      </c>
      <c r="AW6" s="191"/>
    </row>
    <row r="7" spans="1:70" hidden="1" x14ac:dyDescent="0.25">
      <c r="A7" s="172">
        <v>71</v>
      </c>
      <c r="B7" s="187" t="s">
        <v>419</v>
      </c>
      <c r="C7" s="172">
        <v>1</v>
      </c>
      <c r="D7" s="172">
        <v>1</v>
      </c>
      <c r="E7" s="177" t="str">
        <f t="shared" ref="E7:E43" si="0">A7&amp;"-"&amp;C7</f>
        <v>71-1</v>
      </c>
      <c r="F7" s="177" t="str">
        <f t="shared" ref="F7:F20" si="1">A7&amp;"-"&amp;D7</f>
        <v>71-1</v>
      </c>
      <c r="G7" s="172" t="s">
        <v>420</v>
      </c>
      <c r="H7" s="172" t="s">
        <v>421</v>
      </c>
      <c r="I7" t="e">
        <v>#VALUE!</v>
      </c>
      <c r="J7" t="e">
        <v>#VALUE!</v>
      </c>
      <c r="K7" t="e">
        <v>#VALUE!</v>
      </c>
      <c r="L7" t="e">
        <v>#VALUE!</v>
      </c>
      <c r="M7" s="47">
        <v>0</v>
      </c>
      <c r="N7" s="47">
        <v>0</v>
      </c>
      <c r="O7" s="47">
        <v>0</v>
      </c>
      <c r="P7" s="47">
        <v>0</v>
      </c>
      <c r="Q7" s="188">
        <v>0</v>
      </c>
      <c r="R7" s="189" t="s">
        <v>422</v>
      </c>
      <c r="S7" s="172">
        <v>7</v>
      </c>
      <c r="T7" s="172">
        <v>52</v>
      </c>
      <c r="U7" s="172">
        <v>24</v>
      </c>
      <c r="V7" s="172">
        <v>8760</v>
      </c>
      <c r="W7" s="172">
        <v>0</v>
      </c>
      <c r="X7" s="172">
        <v>0</v>
      </c>
      <c r="Y7" s="172">
        <v>0</v>
      </c>
      <c r="Z7" s="172">
        <v>3011</v>
      </c>
      <c r="AA7" s="172">
        <v>21.3</v>
      </c>
      <c r="AE7" t="e">
        <v>#VALUE!</v>
      </c>
      <c r="AF7" t="e">
        <v>#VALUE!</v>
      </c>
      <c r="AI7" s="190" t="e">
        <v>#VALUE!</v>
      </c>
      <c r="AJ7" s="190" t="e">
        <v>#VALUE!</v>
      </c>
      <c r="AL7" s="172" t="e">
        <v>#VALUE!</v>
      </c>
      <c r="AM7" s="172" t="e">
        <v>#VALUE!</v>
      </c>
      <c r="AN7" s="172" t="e">
        <v>#VALUE!</v>
      </c>
      <c r="AO7" s="172" t="e">
        <v>#VALUE!</v>
      </c>
      <c r="AP7" s="172" t="e">
        <v>#VALUE!</v>
      </c>
      <c r="AQ7" s="172" t="e">
        <v>#VALUE!</v>
      </c>
      <c r="AR7" s="172" t="e">
        <v>#VALUE!</v>
      </c>
      <c r="AS7" s="172" t="e">
        <v>#VALUE!</v>
      </c>
      <c r="AT7" s="172" t="e">
        <v>#VALUE!</v>
      </c>
      <c r="AU7" s="172" t="e">
        <v>#VALUE!</v>
      </c>
      <c r="AV7" s="172" t="e">
        <v>#VALUE!</v>
      </c>
      <c r="AW7" s="172" t="e">
        <v>#VALUE!</v>
      </c>
    </row>
    <row r="8" spans="1:70" x14ac:dyDescent="0.25">
      <c r="A8" s="172"/>
      <c r="B8" s="187"/>
      <c r="E8" s="177"/>
      <c r="F8" s="177"/>
      <c r="I8"/>
      <c r="J8"/>
      <c r="K8"/>
      <c r="L8"/>
      <c r="M8" s="47"/>
      <c r="N8" s="47"/>
      <c r="O8" s="47"/>
      <c r="P8" s="47"/>
      <c r="Q8" s="188"/>
      <c r="R8" s="189"/>
      <c r="S8" s="172">
        <v>7</v>
      </c>
      <c r="T8" s="172">
        <v>52</v>
      </c>
      <c r="U8" s="172">
        <v>24</v>
      </c>
      <c r="V8" s="172">
        <v>8760</v>
      </c>
      <c r="Y8" s="172">
        <v>0</v>
      </c>
      <c r="AA8" s="172">
        <v>21</v>
      </c>
      <c r="AE8" t="e">
        <v>#N/A</v>
      </c>
      <c r="AF8" t="e">
        <v>#N/A</v>
      </c>
      <c r="AI8" s="190" t="e">
        <v>#N/A</v>
      </c>
      <c r="AJ8" s="190" t="e">
        <v>#N/A</v>
      </c>
      <c r="AL8" s="172" t="e">
        <v>#N/A</v>
      </c>
      <c r="AM8" s="172" t="e">
        <v>#N/A</v>
      </c>
      <c r="AN8" s="172" t="e">
        <v>#N/A</v>
      </c>
      <c r="AO8" s="172" t="e">
        <v>#N/A</v>
      </c>
      <c r="AP8" s="172" t="e">
        <v>#N/A</v>
      </c>
      <c r="AQ8" s="172" t="e">
        <v>#N/A</v>
      </c>
      <c r="AR8" s="172" t="e">
        <v>#N/A</v>
      </c>
      <c r="AS8" s="172" t="e">
        <v>#N/A</v>
      </c>
      <c r="AT8" s="172" t="e">
        <v>#N/A</v>
      </c>
      <c r="AU8" s="172" t="e">
        <v>#N/A</v>
      </c>
      <c r="AV8" s="172" t="e">
        <v>#N/A</v>
      </c>
      <c r="AW8" s="172"/>
    </row>
    <row r="9" spans="1:70" hidden="1" x14ac:dyDescent="0.25">
      <c r="A9" s="172">
        <v>71</v>
      </c>
      <c r="B9" s="187" t="s">
        <v>419</v>
      </c>
      <c r="C9" s="172">
        <v>2</v>
      </c>
      <c r="D9" s="172">
        <v>2</v>
      </c>
      <c r="E9" s="177" t="str">
        <f t="shared" si="0"/>
        <v>71-2</v>
      </c>
      <c r="F9" s="177" t="str">
        <f t="shared" si="1"/>
        <v>71-2</v>
      </c>
      <c r="G9" s="172" t="s">
        <v>420</v>
      </c>
      <c r="H9" s="172" t="s">
        <v>421</v>
      </c>
      <c r="I9" t="e">
        <v>#VALUE!</v>
      </c>
      <c r="J9" t="e">
        <v>#VALUE!</v>
      </c>
      <c r="K9" t="e">
        <v>#VALUE!</v>
      </c>
      <c r="L9" t="e">
        <v>#VALUE!</v>
      </c>
      <c r="M9" s="47">
        <v>0</v>
      </c>
      <c r="N9" s="47">
        <v>0</v>
      </c>
      <c r="O9" s="47">
        <v>0</v>
      </c>
      <c r="P9" s="47">
        <v>0</v>
      </c>
      <c r="Q9" s="188">
        <v>0</v>
      </c>
      <c r="R9" s="189" t="s">
        <v>422</v>
      </c>
      <c r="S9" s="172">
        <v>7</v>
      </c>
      <c r="T9" s="172">
        <v>52</v>
      </c>
      <c r="U9" s="172">
        <v>24</v>
      </c>
      <c r="V9" s="172">
        <v>8760</v>
      </c>
      <c r="W9" s="172">
        <v>0</v>
      </c>
      <c r="X9" s="172">
        <v>0</v>
      </c>
      <c r="Y9" s="172">
        <v>0</v>
      </c>
      <c r="Z9" s="172">
        <v>3008</v>
      </c>
      <c r="AA9" s="172">
        <v>17.8</v>
      </c>
      <c r="AE9" t="e">
        <v>#VALUE!</v>
      </c>
      <c r="AF9" t="e">
        <v>#VALUE!</v>
      </c>
      <c r="AI9" s="190" t="e">
        <v>#VALUE!</v>
      </c>
      <c r="AJ9" s="190" t="e">
        <v>#VALUE!</v>
      </c>
      <c r="AL9" s="172" t="e">
        <v>#VALUE!</v>
      </c>
      <c r="AM9" s="172" t="e">
        <v>#VALUE!</v>
      </c>
      <c r="AN9" s="172" t="e">
        <v>#VALUE!</v>
      </c>
      <c r="AO9" s="172" t="e">
        <v>#VALUE!</v>
      </c>
      <c r="AP9" s="172" t="e">
        <v>#VALUE!</v>
      </c>
      <c r="AQ9" s="172" t="e">
        <v>#VALUE!</v>
      </c>
      <c r="AR9" s="172" t="e">
        <v>#VALUE!</v>
      </c>
      <c r="AS9" s="172" t="e">
        <v>#VALUE!</v>
      </c>
      <c r="AT9" s="172" t="e">
        <v>#VALUE!</v>
      </c>
      <c r="AU9" s="172" t="e">
        <v>#VALUE!</v>
      </c>
      <c r="AV9" s="172" t="e">
        <v>#VALUE!</v>
      </c>
      <c r="AW9" s="172" t="e">
        <v>#VALUE!</v>
      </c>
    </row>
    <row r="10" spans="1:70" x14ac:dyDescent="0.25">
      <c r="A10" s="172"/>
      <c r="B10" s="187"/>
      <c r="E10" s="177"/>
      <c r="F10" s="177"/>
      <c r="I10"/>
      <c r="J10"/>
      <c r="K10"/>
      <c r="L10"/>
      <c r="M10" s="47"/>
      <c r="N10" s="47"/>
      <c r="O10" s="47"/>
      <c r="P10" s="47"/>
      <c r="Q10" s="188"/>
      <c r="R10" s="189"/>
      <c r="S10" s="172">
        <v>7</v>
      </c>
      <c r="T10" s="172">
        <v>52</v>
      </c>
      <c r="U10" s="172">
        <v>24</v>
      </c>
      <c r="V10" s="172">
        <v>8760</v>
      </c>
      <c r="Y10" s="172">
        <v>0</v>
      </c>
      <c r="AA10" s="172">
        <v>11</v>
      </c>
      <c r="AE10" t="e">
        <v>#N/A</v>
      </c>
      <c r="AF10" t="e">
        <v>#N/A</v>
      </c>
      <c r="AI10" s="190" t="e">
        <v>#N/A</v>
      </c>
      <c r="AJ10" s="190" t="e">
        <v>#N/A</v>
      </c>
      <c r="AL10" s="172" t="e">
        <v>#N/A</v>
      </c>
      <c r="AM10" s="172" t="e">
        <v>#N/A</v>
      </c>
      <c r="AN10" s="172" t="e">
        <v>#N/A</v>
      </c>
      <c r="AO10" s="172" t="e">
        <v>#N/A</v>
      </c>
      <c r="AP10" s="172" t="e">
        <v>#N/A</v>
      </c>
      <c r="AQ10" s="172" t="e">
        <v>#N/A</v>
      </c>
      <c r="AR10" s="172" t="e">
        <v>#N/A</v>
      </c>
      <c r="AS10" s="172" t="e">
        <v>#N/A</v>
      </c>
      <c r="AT10" s="172" t="e">
        <v>#N/A</v>
      </c>
      <c r="AU10" s="172" t="e">
        <v>#N/A</v>
      </c>
      <c r="AV10" s="172" t="e">
        <v>#N/A</v>
      </c>
      <c r="AW10" s="172"/>
    </row>
    <row r="11" spans="1:70" x14ac:dyDescent="0.25">
      <c r="A11" s="172"/>
      <c r="B11" s="187"/>
      <c r="E11" s="177"/>
      <c r="F11" s="177"/>
      <c r="I11"/>
      <c r="J11"/>
      <c r="K11"/>
      <c r="L11"/>
      <c r="M11" s="47"/>
      <c r="N11" s="47"/>
      <c r="O11" s="47"/>
      <c r="P11" s="47"/>
      <c r="Q11" s="188"/>
      <c r="R11" s="189"/>
      <c r="S11" s="172">
        <v>7</v>
      </c>
      <c r="T11" s="172">
        <v>52</v>
      </c>
      <c r="U11" s="172">
        <v>24</v>
      </c>
      <c r="V11" s="172">
        <v>8760</v>
      </c>
      <c r="Y11" s="172">
        <v>0</v>
      </c>
      <c r="AA11" s="172">
        <v>12.8</v>
      </c>
      <c r="AE11" t="e">
        <v>#N/A</v>
      </c>
      <c r="AF11" t="e">
        <v>#N/A</v>
      </c>
      <c r="AI11" s="190" t="e">
        <v>#N/A</v>
      </c>
      <c r="AJ11" s="190" t="e">
        <v>#N/A</v>
      </c>
      <c r="AL11" s="172" t="e">
        <v>#N/A</v>
      </c>
      <c r="AM11" s="172" t="e">
        <v>#N/A</v>
      </c>
      <c r="AN11" s="172" t="e">
        <v>#N/A</v>
      </c>
      <c r="AO11" s="172" t="e">
        <v>#N/A</v>
      </c>
      <c r="AP11" s="172" t="e">
        <v>#N/A</v>
      </c>
      <c r="AQ11" s="172" t="e">
        <v>#N/A</v>
      </c>
      <c r="AR11" s="172" t="e">
        <v>#N/A</v>
      </c>
      <c r="AS11" s="172" t="e">
        <v>#N/A</v>
      </c>
      <c r="AT11" s="172" t="e">
        <v>#N/A</v>
      </c>
      <c r="AU11" s="172" t="e">
        <v>#N/A</v>
      </c>
      <c r="AV11" s="172" t="e">
        <v>#N/A</v>
      </c>
      <c r="AW11" s="172"/>
    </row>
    <row r="12" spans="1:70" x14ac:dyDescent="0.25">
      <c r="A12" s="172"/>
      <c r="B12" s="187"/>
      <c r="E12" s="177"/>
      <c r="F12" s="177"/>
      <c r="I12"/>
      <c r="J12"/>
      <c r="K12"/>
      <c r="L12"/>
      <c r="M12" s="47"/>
      <c r="N12" s="47"/>
      <c r="O12" s="47"/>
      <c r="P12" s="47"/>
      <c r="Q12" s="188"/>
      <c r="R12" s="189"/>
      <c r="S12" s="172">
        <v>7</v>
      </c>
      <c r="T12" s="172">
        <v>40</v>
      </c>
      <c r="U12" s="172">
        <v>24</v>
      </c>
      <c r="V12" s="172">
        <v>6720</v>
      </c>
      <c r="Y12" s="172">
        <v>0</v>
      </c>
      <c r="AA12" s="172">
        <v>3.6</v>
      </c>
      <c r="AE12" t="e">
        <v>#N/A</v>
      </c>
      <c r="AF12" t="e">
        <v>#N/A</v>
      </c>
      <c r="AI12" s="190" t="e">
        <v>#N/A</v>
      </c>
      <c r="AJ12" s="190" t="e">
        <v>#N/A</v>
      </c>
      <c r="AL12" s="172" t="e">
        <v>#N/A</v>
      </c>
      <c r="AM12" s="172" t="e">
        <v>#N/A</v>
      </c>
      <c r="AN12" s="172" t="e">
        <v>#N/A</v>
      </c>
      <c r="AO12" s="172" t="e">
        <v>#N/A</v>
      </c>
      <c r="AP12" s="172" t="e">
        <v>#N/A</v>
      </c>
      <c r="AQ12" s="172" t="e">
        <v>#N/A</v>
      </c>
      <c r="AR12" s="172" t="e">
        <v>#N/A</v>
      </c>
      <c r="AS12" s="172" t="e">
        <v>#N/A</v>
      </c>
      <c r="AT12" s="172" t="e">
        <v>#N/A</v>
      </c>
      <c r="AU12" s="172" t="e">
        <v>#N/A</v>
      </c>
      <c r="AV12" s="172" t="e">
        <v>#N/A</v>
      </c>
      <c r="AW12" s="172"/>
    </row>
    <row r="13" spans="1:70" x14ac:dyDescent="0.25">
      <c r="A13" s="172"/>
      <c r="B13" s="187"/>
      <c r="E13" s="177"/>
      <c r="F13" s="177"/>
      <c r="I13"/>
      <c r="J13"/>
      <c r="K13"/>
      <c r="L13"/>
      <c r="M13" s="47"/>
      <c r="N13" s="47"/>
      <c r="O13" s="47"/>
      <c r="P13" s="47"/>
      <c r="Q13" s="188"/>
      <c r="R13" s="189"/>
      <c r="S13" s="172">
        <v>7</v>
      </c>
      <c r="T13" s="172">
        <v>26</v>
      </c>
      <c r="U13" s="172">
        <v>24</v>
      </c>
      <c r="V13" s="172">
        <v>4368</v>
      </c>
      <c r="Y13" s="172">
        <v>0</v>
      </c>
      <c r="AA13" s="172">
        <v>1.44</v>
      </c>
      <c r="AE13" t="e">
        <v>#N/A</v>
      </c>
      <c r="AF13" t="e">
        <v>#N/A</v>
      </c>
      <c r="AI13" s="190" t="e">
        <v>#N/A</v>
      </c>
      <c r="AJ13" s="190" t="e">
        <v>#N/A</v>
      </c>
      <c r="AL13" s="172" t="e">
        <v>#N/A</v>
      </c>
      <c r="AM13" s="172" t="e">
        <v>#N/A</v>
      </c>
      <c r="AN13" s="172" t="e">
        <v>#N/A</v>
      </c>
      <c r="AO13" s="172" t="e">
        <v>#N/A</v>
      </c>
      <c r="AP13" s="172" t="e">
        <v>#N/A</v>
      </c>
      <c r="AQ13" s="172" t="e">
        <v>#N/A</v>
      </c>
      <c r="AR13" s="172" t="e">
        <v>#N/A</v>
      </c>
      <c r="AS13" s="172" t="e">
        <v>#N/A</v>
      </c>
      <c r="AT13" s="172" t="e">
        <v>#N/A</v>
      </c>
      <c r="AU13" s="172" t="e">
        <v>#N/A</v>
      </c>
      <c r="AV13" s="172" t="e">
        <v>#N/A</v>
      </c>
      <c r="AW13" s="172"/>
    </row>
    <row r="14" spans="1:70" x14ac:dyDescent="0.25">
      <c r="A14" s="172"/>
      <c r="B14" s="187"/>
      <c r="E14" s="177"/>
      <c r="F14" s="177"/>
      <c r="I14"/>
      <c r="J14"/>
      <c r="K14"/>
      <c r="L14"/>
      <c r="M14" s="47"/>
      <c r="N14" s="47"/>
      <c r="O14" s="47"/>
      <c r="P14" s="47"/>
      <c r="Q14" s="188"/>
      <c r="R14" s="189"/>
      <c r="S14" s="172">
        <v>0</v>
      </c>
      <c r="T14" s="172">
        <v>0</v>
      </c>
      <c r="U14" s="172">
        <v>0</v>
      </c>
      <c r="V14" s="172">
        <v>0</v>
      </c>
      <c r="Y14" s="172">
        <v>0</v>
      </c>
      <c r="AA14" s="172">
        <v>0</v>
      </c>
      <c r="AE14" t="e">
        <v>#N/A</v>
      </c>
      <c r="AF14" t="e">
        <v>#N/A</v>
      </c>
      <c r="AI14" s="190" t="e">
        <v>#N/A</v>
      </c>
      <c r="AJ14" s="190" t="e">
        <v>#N/A</v>
      </c>
      <c r="AL14" s="172" t="e">
        <v>#N/A</v>
      </c>
      <c r="AM14" s="172" t="e">
        <v>#N/A</v>
      </c>
      <c r="AN14" s="172" t="e">
        <v>#N/A</v>
      </c>
      <c r="AO14" s="172" t="e">
        <v>#N/A</v>
      </c>
      <c r="AP14" s="172" t="e">
        <v>#N/A</v>
      </c>
      <c r="AQ14" s="172" t="e">
        <v>#N/A</v>
      </c>
      <c r="AR14" s="172" t="e">
        <v>#N/A</v>
      </c>
      <c r="AS14" s="172" t="e">
        <v>#N/A</v>
      </c>
      <c r="AT14" s="172" t="e">
        <v>#N/A</v>
      </c>
      <c r="AU14" s="172" t="e">
        <v>#N/A</v>
      </c>
      <c r="AV14" s="172" t="e">
        <v>#N/A</v>
      </c>
      <c r="AW14" s="172"/>
    </row>
    <row r="15" spans="1:70" x14ac:dyDescent="0.25">
      <c r="A15" s="172"/>
      <c r="B15" s="187"/>
      <c r="E15" s="177"/>
      <c r="F15" s="177"/>
      <c r="I15"/>
      <c r="J15"/>
      <c r="K15"/>
      <c r="L15"/>
      <c r="M15" s="47"/>
      <c r="N15" s="47"/>
      <c r="O15" s="47"/>
      <c r="P15" s="47"/>
      <c r="Q15" s="188"/>
      <c r="R15" s="189"/>
      <c r="S15" s="172">
        <v>7</v>
      </c>
      <c r="T15" s="172">
        <v>52</v>
      </c>
      <c r="U15" s="172">
        <v>24</v>
      </c>
      <c r="V15" s="172">
        <v>8760</v>
      </c>
      <c r="Y15" s="172">
        <v>0</v>
      </c>
      <c r="AA15" s="172">
        <v>154.9</v>
      </c>
      <c r="AE15" t="e">
        <v>#N/A</v>
      </c>
      <c r="AF15" t="e">
        <v>#N/A</v>
      </c>
      <c r="AI15" s="190" t="e">
        <v>#N/A</v>
      </c>
      <c r="AJ15" s="190" t="e">
        <v>#N/A</v>
      </c>
      <c r="AL15" s="172" t="e">
        <v>#N/A</v>
      </c>
      <c r="AM15" s="172" t="e">
        <v>#N/A</v>
      </c>
      <c r="AN15" s="172" t="e">
        <v>#N/A</v>
      </c>
      <c r="AO15" s="172" t="e">
        <v>#N/A</v>
      </c>
      <c r="AP15" s="172" t="e">
        <v>#N/A</v>
      </c>
      <c r="AQ15" s="172" t="e">
        <v>#N/A</v>
      </c>
      <c r="AR15" s="172" t="e">
        <v>#N/A</v>
      </c>
      <c r="AS15" s="172" t="e">
        <v>#N/A</v>
      </c>
      <c r="AT15" s="172" t="e">
        <v>#N/A</v>
      </c>
      <c r="AU15" s="172" t="e">
        <v>#N/A</v>
      </c>
      <c r="AV15" s="172" t="e">
        <v>#N/A</v>
      </c>
      <c r="AW15" s="172"/>
    </row>
    <row r="16" spans="1:70" hidden="1" x14ac:dyDescent="0.25">
      <c r="A16" s="172">
        <v>71</v>
      </c>
      <c r="B16" s="187" t="s">
        <v>419</v>
      </c>
      <c r="C16" s="172">
        <v>8</v>
      </c>
      <c r="D16" s="172">
        <v>8</v>
      </c>
      <c r="E16" s="177" t="str">
        <f t="shared" si="0"/>
        <v>71-8</v>
      </c>
      <c r="F16" s="177" t="str">
        <f t="shared" si="1"/>
        <v>71-8</v>
      </c>
      <c r="G16" s="172" t="s">
        <v>420</v>
      </c>
      <c r="H16" s="172" t="s">
        <v>421</v>
      </c>
      <c r="I16" t="e">
        <v>#VALUE!</v>
      </c>
      <c r="J16" t="e">
        <v>#VALUE!</v>
      </c>
      <c r="K16" t="e">
        <v>#VALUE!</v>
      </c>
      <c r="L16" t="e">
        <v>#VALUE!</v>
      </c>
      <c r="M16" s="47">
        <v>0</v>
      </c>
      <c r="N16" s="47">
        <v>0</v>
      </c>
      <c r="O16" s="47">
        <v>0</v>
      </c>
      <c r="P16" s="47">
        <v>0</v>
      </c>
      <c r="Q16" s="188">
        <v>0</v>
      </c>
      <c r="R16" s="189" t="s">
        <v>422</v>
      </c>
      <c r="S16" s="172">
        <v>7</v>
      </c>
      <c r="T16" s="172">
        <v>52</v>
      </c>
      <c r="U16" s="172">
        <v>24</v>
      </c>
      <c r="V16" s="172">
        <v>8760</v>
      </c>
      <c r="W16" s="172">
        <v>0</v>
      </c>
      <c r="X16" s="172">
        <v>0</v>
      </c>
      <c r="Y16" s="172">
        <v>0</v>
      </c>
      <c r="Z16" s="172">
        <v>2958</v>
      </c>
      <c r="AA16" s="172">
        <v>74.599999999999994</v>
      </c>
      <c r="AE16" t="e">
        <v>#VALUE!</v>
      </c>
      <c r="AF16" t="e">
        <v>#VALUE!</v>
      </c>
      <c r="AI16" s="190" t="e">
        <v>#VALUE!</v>
      </c>
      <c r="AJ16" s="190" t="e">
        <v>#VALUE!</v>
      </c>
      <c r="AL16" s="172" t="e">
        <v>#VALUE!</v>
      </c>
      <c r="AM16" s="172" t="e">
        <v>#VALUE!</v>
      </c>
      <c r="AN16" s="172" t="e">
        <v>#VALUE!</v>
      </c>
      <c r="AO16" s="172" t="e">
        <v>#VALUE!</v>
      </c>
      <c r="AP16" s="172" t="e">
        <v>#VALUE!</v>
      </c>
      <c r="AQ16" s="172" t="e">
        <v>#VALUE!</v>
      </c>
      <c r="AR16" s="172" t="e">
        <v>#VALUE!</v>
      </c>
      <c r="AS16" s="172" t="e">
        <v>#VALUE!</v>
      </c>
      <c r="AT16" s="172" t="e">
        <v>#VALUE!</v>
      </c>
      <c r="AU16" s="172" t="e">
        <v>#VALUE!</v>
      </c>
      <c r="AV16" s="172" t="e">
        <v>#VALUE!</v>
      </c>
      <c r="AW16" s="172" t="e">
        <v>#VALUE!</v>
      </c>
    </row>
    <row r="17" spans="1:70" x14ac:dyDescent="0.25">
      <c r="A17" s="172"/>
      <c r="B17" s="187"/>
      <c r="E17" s="177"/>
      <c r="F17" s="177"/>
      <c r="I17"/>
      <c r="J17"/>
      <c r="K17"/>
      <c r="L17"/>
      <c r="M17" s="47"/>
      <c r="N17" s="47"/>
      <c r="O17" s="47"/>
      <c r="P17" s="47"/>
      <c r="Q17" s="188"/>
      <c r="R17" s="189"/>
      <c r="S17" s="172">
        <v>7</v>
      </c>
      <c r="T17" s="172">
        <v>30</v>
      </c>
      <c r="U17" s="172">
        <v>24</v>
      </c>
      <c r="V17" s="172">
        <v>5040</v>
      </c>
      <c r="Y17" s="172">
        <v>0</v>
      </c>
      <c r="AA17" s="172">
        <v>13.4</v>
      </c>
      <c r="AE17" t="e">
        <v>#N/A</v>
      </c>
      <c r="AF17" t="e">
        <v>#N/A</v>
      </c>
      <c r="AI17" s="190" t="e">
        <v>#N/A</v>
      </c>
      <c r="AJ17" s="190" t="e">
        <v>#N/A</v>
      </c>
      <c r="AL17" s="172" t="e">
        <v>#N/A</v>
      </c>
      <c r="AM17" s="172" t="e">
        <v>#N/A</v>
      </c>
      <c r="AN17" s="172" t="e">
        <v>#N/A</v>
      </c>
      <c r="AO17" s="172" t="e">
        <v>#N/A</v>
      </c>
      <c r="AP17" s="172" t="e">
        <v>#N/A</v>
      </c>
      <c r="AQ17" s="172" t="e">
        <v>#N/A</v>
      </c>
      <c r="AR17" s="172" t="e">
        <v>#N/A</v>
      </c>
      <c r="AS17" s="172" t="e">
        <v>#N/A</v>
      </c>
      <c r="AT17" s="172" t="e">
        <v>#N/A</v>
      </c>
      <c r="AU17" s="172" t="e">
        <v>#N/A</v>
      </c>
      <c r="AV17" s="172" t="e">
        <v>#N/A</v>
      </c>
      <c r="AW17" s="172"/>
    </row>
    <row r="18" spans="1:70" hidden="1" x14ac:dyDescent="0.25">
      <c r="A18" s="172">
        <v>71</v>
      </c>
      <c r="B18" s="187" t="s">
        <v>419</v>
      </c>
      <c r="C18" s="172">
        <v>9</v>
      </c>
      <c r="D18" s="172">
        <v>9</v>
      </c>
      <c r="E18" s="177" t="str">
        <f t="shared" si="0"/>
        <v>71-9</v>
      </c>
      <c r="F18" s="177" t="str">
        <f t="shared" si="1"/>
        <v>71-9</v>
      </c>
      <c r="G18" s="172" t="s">
        <v>420</v>
      </c>
      <c r="H18" s="172" t="s">
        <v>421</v>
      </c>
      <c r="I18" t="e">
        <v>#VALUE!</v>
      </c>
      <c r="J18" t="e">
        <v>#VALUE!</v>
      </c>
      <c r="K18" t="e">
        <v>#VALUE!</v>
      </c>
      <c r="L18" t="e">
        <v>#VALUE!</v>
      </c>
      <c r="M18" s="47">
        <v>0</v>
      </c>
      <c r="N18" s="47">
        <v>0</v>
      </c>
      <c r="O18" s="47">
        <v>0</v>
      </c>
      <c r="P18" s="47">
        <v>0</v>
      </c>
      <c r="Q18" s="188">
        <v>0</v>
      </c>
      <c r="R18" s="189" t="s">
        <v>422</v>
      </c>
      <c r="S18" s="172">
        <v>7</v>
      </c>
      <c r="T18" s="172">
        <v>30</v>
      </c>
      <c r="U18" s="172">
        <v>24</v>
      </c>
      <c r="V18" s="172">
        <v>5040</v>
      </c>
      <c r="W18" s="172">
        <v>0</v>
      </c>
      <c r="X18" s="172">
        <v>0</v>
      </c>
      <c r="Y18" s="172">
        <v>0</v>
      </c>
      <c r="Z18" s="172">
        <v>3000</v>
      </c>
      <c r="AA18" s="172">
        <v>0.3</v>
      </c>
      <c r="AE18" t="e">
        <v>#VALUE!</v>
      </c>
      <c r="AF18" t="e">
        <v>#VALUE!</v>
      </c>
      <c r="AI18" s="190" t="e">
        <v>#VALUE!</v>
      </c>
      <c r="AJ18" s="190" t="e">
        <v>#VALUE!</v>
      </c>
      <c r="AL18" s="172" t="e">
        <v>#VALUE!</v>
      </c>
      <c r="AM18" s="172" t="e">
        <v>#VALUE!</v>
      </c>
      <c r="AN18" s="172" t="e">
        <v>#VALUE!</v>
      </c>
      <c r="AO18" s="172" t="e">
        <v>#VALUE!</v>
      </c>
      <c r="AP18" s="172" t="e">
        <v>#VALUE!</v>
      </c>
      <c r="AQ18" s="172" t="e">
        <v>#VALUE!</v>
      </c>
      <c r="AR18" s="172" t="e">
        <v>#VALUE!</v>
      </c>
      <c r="AS18" s="172" t="e">
        <v>#VALUE!</v>
      </c>
      <c r="AT18" s="172" t="e">
        <v>#VALUE!</v>
      </c>
      <c r="AU18" s="172" t="e">
        <v>#VALUE!</v>
      </c>
      <c r="AV18" s="172" t="e">
        <v>#VALUE!</v>
      </c>
      <c r="AW18" s="172" t="e">
        <v>#VALUE!</v>
      </c>
    </row>
    <row r="19" spans="1:70" x14ac:dyDescent="0.25">
      <c r="A19" s="172"/>
      <c r="B19" s="187"/>
      <c r="E19" s="177"/>
      <c r="F19" s="177"/>
      <c r="I19"/>
      <c r="J19"/>
      <c r="K19"/>
      <c r="L19"/>
      <c r="M19" s="47"/>
      <c r="N19" s="47"/>
      <c r="O19" s="47"/>
      <c r="P19" s="47"/>
      <c r="Q19" s="188"/>
      <c r="R19" s="189"/>
      <c r="S19" s="172">
        <v>7</v>
      </c>
      <c r="T19" s="172">
        <v>52</v>
      </c>
      <c r="U19" s="172">
        <v>24</v>
      </c>
      <c r="V19" s="172">
        <v>0</v>
      </c>
      <c r="Y19" s="172">
        <v>0</v>
      </c>
      <c r="AA19" s="172">
        <v>0</v>
      </c>
      <c r="AE19" t="e">
        <v>#N/A</v>
      </c>
      <c r="AF19" t="e">
        <v>#N/A</v>
      </c>
      <c r="AI19" s="190" t="e">
        <v>#N/A</v>
      </c>
      <c r="AJ19" s="190" t="e">
        <v>#N/A</v>
      </c>
      <c r="AL19" s="172" t="e">
        <v>#N/A</v>
      </c>
      <c r="AM19" s="172" t="e">
        <v>#N/A</v>
      </c>
      <c r="AN19" s="172" t="e">
        <v>#N/A</v>
      </c>
      <c r="AO19" s="172" t="e">
        <v>#N/A</v>
      </c>
      <c r="AP19" s="172" t="e">
        <v>#N/A</v>
      </c>
      <c r="AQ19" s="172" t="e">
        <v>#N/A</v>
      </c>
      <c r="AR19" s="172" t="e">
        <v>#N/A</v>
      </c>
      <c r="AS19" s="172" t="e">
        <v>#N/A</v>
      </c>
      <c r="AT19" s="172" t="e">
        <v>#N/A</v>
      </c>
      <c r="AU19" s="172" t="e">
        <v>#N/A</v>
      </c>
      <c r="AV19" s="172" t="e">
        <v>#N/A</v>
      </c>
      <c r="AW19" s="172"/>
    </row>
    <row r="20" spans="1:70" hidden="1" x14ac:dyDescent="0.25">
      <c r="A20" s="172">
        <v>71</v>
      </c>
      <c r="B20" s="187" t="s">
        <v>419</v>
      </c>
      <c r="C20" s="172">
        <v>10</v>
      </c>
      <c r="D20" s="172">
        <v>10</v>
      </c>
      <c r="E20" s="177" t="str">
        <f t="shared" si="0"/>
        <v>71-10</v>
      </c>
      <c r="F20" s="177" t="str">
        <f t="shared" si="1"/>
        <v>71-10</v>
      </c>
      <c r="G20" s="172" t="s">
        <v>420</v>
      </c>
      <c r="H20" s="172" t="s">
        <v>421</v>
      </c>
      <c r="I20" t="e">
        <v>#VALUE!</v>
      </c>
      <c r="J20" t="e">
        <v>#VALUE!</v>
      </c>
      <c r="K20" t="e">
        <v>#VALUE!</v>
      </c>
      <c r="L20" t="e">
        <v>#VALUE!</v>
      </c>
      <c r="M20" s="47">
        <v>0</v>
      </c>
      <c r="N20" s="47">
        <v>0</v>
      </c>
      <c r="O20" s="47">
        <v>0</v>
      </c>
      <c r="P20" s="47">
        <v>0</v>
      </c>
      <c r="Q20" s="188">
        <v>0</v>
      </c>
      <c r="R20" s="189" t="s">
        <v>422</v>
      </c>
      <c r="S20" s="172">
        <v>7</v>
      </c>
      <c r="T20" s="172">
        <v>52</v>
      </c>
      <c r="U20" s="172">
        <v>24</v>
      </c>
      <c r="V20" s="172">
        <v>8760</v>
      </c>
      <c r="W20" s="172">
        <v>0</v>
      </c>
      <c r="X20" s="172">
        <v>0</v>
      </c>
      <c r="Y20" s="172">
        <v>0</v>
      </c>
      <c r="Z20" s="172">
        <v>105.5</v>
      </c>
      <c r="AA20" s="172">
        <v>161.5</v>
      </c>
      <c r="AE20" t="e">
        <v>#VALUE!</v>
      </c>
      <c r="AF20" t="e">
        <v>#VALUE!</v>
      </c>
      <c r="AI20" s="190" t="e">
        <v>#VALUE!</v>
      </c>
      <c r="AJ20" s="190" t="e">
        <v>#VALUE!</v>
      </c>
      <c r="AL20" s="172" t="e">
        <v>#VALUE!</v>
      </c>
      <c r="AM20" s="172" t="e">
        <v>#VALUE!</v>
      </c>
      <c r="AN20" s="172" t="e">
        <v>#VALUE!</v>
      </c>
      <c r="AO20" s="172" t="e">
        <v>#VALUE!</v>
      </c>
      <c r="AP20" s="172" t="e">
        <v>#VALUE!</v>
      </c>
      <c r="AQ20" s="172" t="e">
        <v>#VALUE!</v>
      </c>
      <c r="AR20" s="172" t="e">
        <v>#VALUE!</v>
      </c>
      <c r="AS20" s="172" t="e">
        <v>#VALUE!</v>
      </c>
      <c r="AT20" s="172" t="e">
        <v>#VALUE!</v>
      </c>
      <c r="AU20" s="172" t="e">
        <v>#VALUE!</v>
      </c>
      <c r="AV20" s="172" t="e">
        <v>#VALUE!</v>
      </c>
      <c r="AW20" s="172" t="e">
        <v>#VALUE!</v>
      </c>
    </row>
    <row r="21" spans="1:70" x14ac:dyDescent="0.25">
      <c r="A21" s="172"/>
      <c r="B21" s="187"/>
      <c r="E21" s="177"/>
      <c r="F21" s="177"/>
      <c r="I21"/>
      <c r="J21"/>
      <c r="K21"/>
      <c r="L21"/>
      <c r="M21" s="47"/>
      <c r="N21" s="47"/>
      <c r="O21" s="47"/>
      <c r="P21" s="47"/>
      <c r="Q21" s="188"/>
      <c r="R21" s="189"/>
      <c r="S21" s="172">
        <v>7</v>
      </c>
      <c r="T21" s="172">
        <v>52</v>
      </c>
      <c r="U21" s="172">
        <v>24</v>
      </c>
      <c r="V21" s="172">
        <v>0</v>
      </c>
      <c r="Y21" s="172">
        <v>0</v>
      </c>
      <c r="AA21" s="172">
        <v>0</v>
      </c>
      <c r="AE21" t="e">
        <v>#N/A</v>
      </c>
      <c r="AF21" t="e">
        <v>#N/A</v>
      </c>
      <c r="AI21" s="190" t="e">
        <v>#N/A</v>
      </c>
      <c r="AJ21" s="190" t="e">
        <v>#N/A</v>
      </c>
      <c r="AL21" s="172" t="e">
        <v>#N/A</v>
      </c>
      <c r="AM21" s="172" t="e">
        <v>#N/A</v>
      </c>
      <c r="AN21" s="172" t="e">
        <v>#N/A</v>
      </c>
      <c r="AO21" s="172" t="e">
        <v>#N/A</v>
      </c>
      <c r="AP21" s="172" t="e">
        <v>#N/A</v>
      </c>
      <c r="AQ21" s="172" t="e">
        <v>#N/A</v>
      </c>
      <c r="AR21" s="172" t="e">
        <v>#N/A</v>
      </c>
      <c r="AS21" s="172" t="e">
        <v>#N/A</v>
      </c>
      <c r="AT21" s="172" t="e">
        <v>#N/A</v>
      </c>
      <c r="AU21" s="172" t="e">
        <v>#N/A</v>
      </c>
      <c r="AV21" s="172" t="e">
        <v>#N/A</v>
      </c>
      <c r="AW21" s="172"/>
    </row>
    <row r="22" spans="1:70" x14ac:dyDescent="0.25">
      <c r="A22" s="173"/>
      <c r="B22" s="192"/>
      <c r="C22" s="173"/>
      <c r="D22" s="173"/>
      <c r="E22" s="193"/>
      <c r="F22" s="193"/>
      <c r="G22" s="173"/>
      <c r="H22" s="173"/>
      <c r="I22" s="7"/>
      <c r="J22" s="7"/>
      <c r="K22" s="7"/>
      <c r="L22" s="7"/>
      <c r="M22" s="194"/>
      <c r="N22" s="194"/>
      <c r="O22" s="194"/>
      <c r="P22" s="194"/>
      <c r="Q22" s="195"/>
      <c r="R22" s="196"/>
      <c r="S22" s="173">
        <v>7</v>
      </c>
      <c r="T22" s="173">
        <v>52</v>
      </c>
      <c r="U22" s="173">
        <v>24</v>
      </c>
      <c r="V22" s="173">
        <v>8736</v>
      </c>
      <c r="W22" s="173"/>
      <c r="X22" s="173"/>
      <c r="Y22" s="173">
        <v>0</v>
      </c>
      <c r="Z22" s="173"/>
      <c r="AA22" s="173">
        <v>0.91</v>
      </c>
      <c r="AB22" s="173"/>
      <c r="AC22" s="173"/>
      <c r="AD22" s="7"/>
      <c r="AE22" s="7" t="e">
        <v>#N/A</v>
      </c>
      <c r="AF22" s="7" t="e">
        <v>#N/A</v>
      </c>
      <c r="AG22" s="7"/>
      <c r="AH22" s="7"/>
      <c r="AI22" s="197" t="e">
        <v>#N/A</v>
      </c>
      <c r="AJ22" s="197" t="e">
        <v>#N/A</v>
      </c>
      <c r="AK22" s="7"/>
      <c r="AL22" s="173" t="e">
        <v>#N/A</v>
      </c>
      <c r="AM22" s="173" t="e">
        <v>#N/A</v>
      </c>
      <c r="AN22" s="173" t="e">
        <v>#N/A</v>
      </c>
      <c r="AO22" s="173" t="e">
        <v>#N/A</v>
      </c>
      <c r="AP22" s="173" t="e">
        <v>#N/A</v>
      </c>
      <c r="AQ22" s="173" t="e">
        <v>#N/A</v>
      </c>
      <c r="AR22" s="173" t="e">
        <v>#N/A</v>
      </c>
      <c r="AS22" s="173" t="e">
        <v>#N/A</v>
      </c>
      <c r="AT22" s="173" t="e">
        <v>#N/A</v>
      </c>
      <c r="AU22" s="173" t="e">
        <v>#N/A</v>
      </c>
      <c r="AV22" s="173" t="e">
        <v>#N/A</v>
      </c>
      <c r="AW22" s="173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x14ac:dyDescent="0.25">
      <c r="A23" s="172">
        <v>109</v>
      </c>
      <c r="B23" t="s">
        <v>423</v>
      </c>
      <c r="C23" s="172">
        <v>1</v>
      </c>
      <c r="D23" s="172">
        <v>1</v>
      </c>
      <c r="E23" s="177" t="str">
        <f t="shared" si="0"/>
        <v>109-1</v>
      </c>
      <c r="F23" s="177" t="str">
        <f>A23&amp;"-"&amp;D23</f>
        <v>109-1</v>
      </c>
      <c r="G23" s="172" t="s">
        <v>424</v>
      </c>
      <c r="H23" s="172" t="s">
        <v>425</v>
      </c>
      <c r="I23" t="s">
        <v>426</v>
      </c>
      <c r="J23" t="s">
        <v>427</v>
      </c>
      <c r="K23">
        <v>268</v>
      </c>
      <c r="L23" t="s">
        <v>428</v>
      </c>
      <c r="M23" s="198"/>
      <c r="N23" s="198"/>
      <c r="O23" s="198"/>
      <c r="P23" s="198"/>
      <c r="Q23" s="199">
        <v>2341</v>
      </c>
      <c r="R23" s="189" t="s">
        <v>429</v>
      </c>
      <c r="S23" s="172">
        <v>1</v>
      </c>
      <c r="T23" s="172">
        <v>30</v>
      </c>
      <c r="U23" s="172">
        <v>1</v>
      </c>
      <c r="V23" s="172">
        <v>255</v>
      </c>
      <c r="X23" s="172">
        <v>9.7000000000000003E-2</v>
      </c>
      <c r="Z23" s="172">
        <v>0.133994</v>
      </c>
      <c r="AD23" t="s">
        <v>430</v>
      </c>
      <c r="AE23" t="e">
        <v>#VALUE!</v>
      </c>
      <c r="AF23" t="e">
        <v>#VALUE!</v>
      </c>
      <c r="AI23" s="190" t="e">
        <v>#VALUE!</v>
      </c>
      <c r="AJ23" s="190" t="e">
        <v>#VALUE!</v>
      </c>
      <c r="AL23" s="172" t="e">
        <v>#VALUE!</v>
      </c>
      <c r="AM23" s="172" t="e">
        <v>#VALUE!</v>
      </c>
      <c r="AN23" s="172" t="e">
        <v>#VALUE!</v>
      </c>
      <c r="AO23" s="172" t="e">
        <v>#VALUE!</v>
      </c>
      <c r="AP23" s="172" t="e">
        <v>#VALUE!</v>
      </c>
      <c r="AQ23" s="172" t="e">
        <v>#VALUE!</v>
      </c>
      <c r="AR23" s="172" t="e">
        <v>#VALUE!</v>
      </c>
      <c r="AS23" s="172" t="e">
        <v>#VALUE!</v>
      </c>
      <c r="AT23" s="172" t="e">
        <v>#VALUE!</v>
      </c>
      <c r="AU23" s="172" t="e">
        <v>#VALUE!</v>
      </c>
      <c r="AV23" s="172" t="e">
        <v>#VALUE!</v>
      </c>
      <c r="AW23" s="172">
        <v>20100109</v>
      </c>
      <c r="AX23" s="17">
        <f t="shared" ref="AX23:AX27" si="2">AY23</f>
        <v>1.607928E-3</v>
      </c>
      <c r="AY23" s="17">
        <f t="shared" ref="AY23:AY27" si="3">BM23*$Z23</f>
        <v>1.607928E-3</v>
      </c>
      <c r="AZ23" s="17">
        <f>2*X23/100*6.7</f>
        <v>1.2998000000000001E-2</v>
      </c>
      <c r="BA23" s="17">
        <f t="shared" ref="BA23:BC27" si="4">BO23*$Z23</f>
        <v>0.11791472</v>
      </c>
      <c r="BB23" s="17">
        <f t="shared" si="4"/>
        <v>5.4937539999999996E-5</v>
      </c>
      <c r="BC23" s="17">
        <f t="shared" si="4"/>
        <v>4.4218019999999999E-4</v>
      </c>
      <c r="BD23">
        <v>8.0000000000000004E-4</v>
      </c>
      <c r="BE23" s="33">
        <f t="shared" ref="BE23:BK34" si="5">$Q23*AX23/2000</f>
        <v>1.882079724E-3</v>
      </c>
      <c r="BF23" s="33">
        <f t="shared" si="5"/>
        <v>1.882079724E-3</v>
      </c>
      <c r="BG23" s="33">
        <f t="shared" si="5"/>
        <v>1.5214159E-2</v>
      </c>
      <c r="BH23" s="33">
        <f t="shared" si="5"/>
        <v>0.13801917976000003</v>
      </c>
      <c r="BI23" s="33">
        <f t="shared" si="5"/>
        <v>6.4304390569999993E-5</v>
      </c>
      <c r="BJ23" s="33">
        <f t="shared" si="5"/>
        <v>5.1757192409999995E-4</v>
      </c>
      <c r="BK23" s="33">
        <f t="shared" si="5"/>
        <v>9.3639999999999999E-4</v>
      </c>
      <c r="BL23" s="200">
        <f t="shared" ref="BL23:BL27" si="6">BM23</f>
        <v>1.2E-2</v>
      </c>
      <c r="BM23" s="200">
        <v>1.2E-2</v>
      </c>
      <c r="BN23" s="200">
        <f t="shared" ref="BN23:BR34" si="7">IFERROR(AZ23/$Z23,"-")</f>
        <v>9.7004343478066191E-2</v>
      </c>
      <c r="BO23" s="200">
        <v>0.88</v>
      </c>
      <c r="BP23" s="200">
        <v>4.0999999999999999E-4</v>
      </c>
      <c r="BQ23" s="200">
        <v>3.3E-3</v>
      </c>
      <c r="BR23" s="200">
        <f t="shared" si="7"/>
        <v>5.9704165858172759E-3</v>
      </c>
    </row>
    <row r="24" spans="1:70" x14ac:dyDescent="0.25">
      <c r="A24" s="172">
        <v>109</v>
      </c>
      <c r="B24" t="s">
        <v>423</v>
      </c>
      <c r="C24" s="172">
        <v>1</v>
      </c>
      <c r="D24" s="172">
        <v>1</v>
      </c>
      <c r="E24" s="177" t="str">
        <f t="shared" si="0"/>
        <v>109-1</v>
      </c>
      <c r="F24" s="177" t="str">
        <f>A24&amp;"-"&amp;D24</f>
        <v>109-1</v>
      </c>
      <c r="G24" s="172" t="s">
        <v>424</v>
      </c>
      <c r="H24" s="172" t="s">
        <v>431</v>
      </c>
      <c r="I24" t="s">
        <v>426</v>
      </c>
      <c r="J24" t="s">
        <v>427</v>
      </c>
      <c r="K24">
        <v>268</v>
      </c>
      <c r="L24" t="s">
        <v>428</v>
      </c>
      <c r="M24" s="198"/>
      <c r="N24" s="198"/>
      <c r="O24" s="198"/>
      <c r="P24" s="198"/>
      <c r="Q24" s="199">
        <v>104236</v>
      </c>
      <c r="R24" s="189" t="s">
        <v>429</v>
      </c>
      <c r="X24" s="172">
        <v>0.379</v>
      </c>
      <c r="Z24" s="172">
        <v>0.137575</v>
      </c>
      <c r="AD24" t="s">
        <v>464</v>
      </c>
      <c r="AI24" s="190"/>
      <c r="AJ24" s="190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>
        <v>20100109</v>
      </c>
      <c r="AX24" s="17">
        <f t="shared" si="2"/>
        <v>1.6509000000000001E-3</v>
      </c>
      <c r="AY24" s="17">
        <f t="shared" si="3"/>
        <v>1.6509000000000001E-3</v>
      </c>
      <c r="AZ24" s="17">
        <f>2*X24/100*7.1</f>
        <v>5.3817999999999998E-2</v>
      </c>
      <c r="BA24" s="17">
        <f t="shared" si="4"/>
        <v>0.12106600000000001</v>
      </c>
      <c r="BB24" s="17">
        <f t="shared" si="4"/>
        <v>5.6405749999999998E-5</v>
      </c>
      <c r="BC24" s="17">
        <f t="shared" si="4"/>
        <v>4.5399749999999999E-4</v>
      </c>
      <c r="BD24">
        <v>8.0000000000000004E-4</v>
      </c>
      <c r="BE24" s="33">
        <f t="shared" si="5"/>
        <v>8.6041606200000009E-2</v>
      </c>
      <c r="BF24" s="33">
        <f t="shared" si="5"/>
        <v>8.6041606200000009E-2</v>
      </c>
      <c r="BG24" s="33">
        <f t="shared" si="5"/>
        <v>2.804886524</v>
      </c>
      <c r="BH24" s="33">
        <f t="shared" si="5"/>
        <v>6.3097177879999995</v>
      </c>
      <c r="BI24" s="33">
        <f t="shared" si="5"/>
        <v>2.9397548784999999E-3</v>
      </c>
      <c r="BJ24" s="33">
        <f t="shared" si="5"/>
        <v>2.3661441704999998E-2</v>
      </c>
      <c r="BK24" s="33">
        <f t="shared" si="5"/>
        <v>4.16944E-2</v>
      </c>
      <c r="BL24" s="200">
        <f t="shared" si="6"/>
        <v>1.2E-2</v>
      </c>
      <c r="BM24" s="200">
        <v>1.2E-2</v>
      </c>
      <c r="BN24" s="200">
        <f t="shared" si="7"/>
        <v>0.39119025985825912</v>
      </c>
      <c r="BO24" s="200">
        <v>0.88</v>
      </c>
      <c r="BP24" s="200">
        <v>4.0999999999999999E-4</v>
      </c>
      <c r="BQ24" s="200">
        <v>3.3E-3</v>
      </c>
      <c r="BR24" s="200">
        <f t="shared" si="7"/>
        <v>5.8150099945484283E-3</v>
      </c>
    </row>
    <row r="25" spans="1:70" x14ac:dyDescent="0.25">
      <c r="A25" s="172">
        <v>109</v>
      </c>
      <c r="B25" t="s">
        <v>423</v>
      </c>
      <c r="C25" s="172">
        <v>2</v>
      </c>
      <c r="D25" s="172">
        <v>2</v>
      </c>
      <c r="E25" s="177" t="str">
        <f t="shared" si="0"/>
        <v>109-2</v>
      </c>
      <c r="F25" s="177" t="str">
        <f t="shared" ref="F25:F43" si="8">A25&amp;"-"&amp;D25</f>
        <v>109-2</v>
      </c>
      <c r="G25" s="172" t="s">
        <v>424</v>
      </c>
      <c r="H25" s="172" t="s">
        <v>425</v>
      </c>
      <c r="I25" t="s">
        <v>426</v>
      </c>
      <c r="J25" t="s">
        <v>427</v>
      </c>
      <c r="K25">
        <v>268</v>
      </c>
      <c r="L25" t="s">
        <v>428</v>
      </c>
      <c r="M25" s="198"/>
      <c r="N25" s="198"/>
      <c r="O25" s="198"/>
      <c r="P25" s="198"/>
      <c r="Q25" s="199">
        <v>15924</v>
      </c>
      <c r="R25" s="189" t="s">
        <v>429</v>
      </c>
      <c r="S25" s="172">
        <v>2</v>
      </c>
      <c r="T25" s="172">
        <v>40</v>
      </c>
      <c r="U25" s="172">
        <v>3</v>
      </c>
      <c r="V25" s="172">
        <v>937</v>
      </c>
      <c r="X25" s="172">
        <v>9.7000000000000003E-2</v>
      </c>
      <c r="Z25" s="172">
        <v>0.133994</v>
      </c>
      <c r="AD25" t="s">
        <v>430</v>
      </c>
      <c r="AE25" t="e">
        <v>#VALUE!</v>
      </c>
      <c r="AF25" t="e">
        <v>#VALUE!</v>
      </c>
      <c r="AI25" s="190" t="e">
        <v>#VALUE!</v>
      </c>
      <c r="AJ25" s="190" t="e">
        <v>#VALUE!</v>
      </c>
      <c r="AL25" s="172" t="e">
        <v>#VALUE!</v>
      </c>
      <c r="AM25" s="172" t="e">
        <v>#VALUE!</v>
      </c>
      <c r="AN25" s="172" t="e">
        <v>#VALUE!</v>
      </c>
      <c r="AO25" s="172" t="e">
        <v>#VALUE!</v>
      </c>
      <c r="AP25" s="172" t="e">
        <v>#VALUE!</v>
      </c>
      <c r="AQ25" s="172" t="e">
        <v>#VALUE!</v>
      </c>
      <c r="AR25" s="172" t="e">
        <v>#VALUE!</v>
      </c>
      <c r="AS25" s="172" t="e">
        <v>#VALUE!</v>
      </c>
      <c r="AT25" s="172" t="e">
        <v>#VALUE!</v>
      </c>
      <c r="AU25" s="172" t="e">
        <v>#VALUE!</v>
      </c>
      <c r="AV25" s="172" t="e">
        <v>#VALUE!</v>
      </c>
      <c r="AW25" s="172">
        <v>20100109</v>
      </c>
      <c r="AX25" s="17">
        <f t="shared" si="2"/>
        <v>1.607928E-3</v>
      </c>
      <c r="AY25" s="17">
        <f t="shared" si="3"/>
        <v>1.607928E-3</v>
      </c>
      <c r="AZ25" s="17">
        <f>2*X25/100*6.7</f>
        <v>1.2998000000000001E-2</v>
      </c>
      <c r="BA25" s="17">
        <f t="shared" si="4"/>
        <v>0.11791472</v>
      </c>
      <c r="BB25" s="17">
        <f t="shared" si="4"/>
        <v>5.4937539999999996E-5</v>
      </c>
      <c r="BC25" s="17">
        <f t="shared" si="4"/>
        <v>4.4218019999999999E-4</v>
      </c>
      <c r="BD25">
        <v>8.0000000000000004E-4</v>
      </c>
      <c r="BE25" s="33">
        <f t="shared" si="5"/>
        <v>1.2802322736E-2</v>
      </c>
      <c r="BF25" s="33">
        <f t="shared" si="5"/>
        <v>1.2802322736E-2</v>
      </c>
      <c r="BG25" s="33">
        <f t="shared" si="5"/>
        <v>0.103490076</v>
      </c>
      <c r="BH25" s="33">
        <f t="shared" si="5"/>
        <v>0.93883700064000009</v>
      </c>
      <c r="BI25" s="33">
        <f t="shared" si="5"/>
        <v>4.3741269347999997E-4</v>
      </c>
      <c r="BJ25" s="33">
        <f t="shared" si="5"/>
        <v>3.5206387523999999E-3</v>
      </c>
      <c r="BK25" s="33">
        <f t="shared" si="5"/>
        <v>6.3696000000000004E-3</v>
      </c>
      <c r="BL25" s="200">
        <f t="shared" si="6"/>
        <v>1.2E-2</v>
      </c>
      <c r="BM25" s="200">
        <v>1.2E-2</v>
      </c>
      <c r="BN25" s="200">
        <f t="shared" si="7"/>
        <v>9.7004343478066191E-2</v>
      </c>
      <c r="BO25" s="200">
        <v>0.88</v>
      </c>
      <c r="BP25" s="200">
        <v>4.0999999999999999E-4</v>
      </c>
      <c r="BQ25" s="200">
        <v>3.3E-3</v>
      </c>
      <c r="BR25" s="200">
        <f t="shared" si="7"/>
        <v>5.9704165858172759E-3</v>
      </c>
    </row>
    <row r="26" spans="1:70" x14ac:dyDescent="0.25">
      <c r="A26" s="172">
        <v>109</v>
      </c>
      <c r="B26" t="s">
        <v>423</v>
      </c>
      <c r="C26" s="172">
        <v>2</v>
      </c>
      <c r="D26" s="172">
        <v>2</v>
      </c>
      <c r="E26" s="177" t="str">
        <f t="shared" si="0"/>
        <v>109-2</v>
      </c>
      <c r="F26" s="177" t="str">
        <f t="shared" si="8"/>
        <v>109-2</v>
      </c>
      <c r="G26" s="172" t="s">
        <v>424</v>
      </c>
      <c r="H26" s="172" t="s">
        <v>431</v>
      </c>
      <c r="I26" t="s">
        <v>426</v>
      </c>
      <c r="J26" t="s">
        <v>427</v>
      </c>
      <c r="K26">
        <v>268</v>
      </c>
      <c r="L26" t="s">
        <v>428</v>
      </c>
      <c r="M26" s="198"/>
      <c r="N26" s="198"/>
      <c r="O26" s="198"/>
      <c r="P26" s="198"/>
      <c r="Q26" s="199">
        <v>1083541</v>
      </c>
      <c r="R26" s="189" t="s">
        <v>429</v>
      </c>
      <c r="X26" s="172">
        <v>0.379</v>
      </c>
      <c r="Z26" s="172">
        <v>0.137575</v>
      </c>
      <c r="AD26" t="s">
        <v>464</v>
      </c>
      <c r="AI26" s="190"/>
      <c r="AJ26" s="190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>
        <v>20100109</v>
      </c>
      <c r="AX26" s="17">
        <f t="shared" si="2"/>
        <v>1.6509000000000001E-3</v>
      </c>
      <c r="AY26" s="17">
        <f t="shared" si="3"/>
        <v>1.6509000000000001E-3</v>
      </c>
      <c r="AZ26" s="17">
        <f>2*X26/100*7.1</f>
        <v>5.3817999999999998E-2</v>
      </c>
      <c r="BA26" s="17">
        <f t="shared" si="4"/>
        <v>0.12106600000000001</v>
      </c>
      <c r="BB26" s="17">
        <f t="shared" si="4"/>
        <v>5.6405749999999998E-5</v>
      </c>
      <c r="BC26" s="17">
        <f t="shared" si="4"/>
        <v>4.5399749999999999E-4</v>
      </c>
      <c r="BD26">
        <v>8.0000000000000004E-4</v>
      </c>
      <c r="BE26" s="33">
        <f t="shared" si="5"/>
        <v>0.89440891845000003</v>
      </c>
      <c r="BF26" s="33">
        <f t="shared" si="5"/>
        <v>0.89440891845000003</v>
      </c>
      <c r="BG26" s="33">
        <f t="shared" si="5"/>
        <v>29.157004769</v>
      </c>
      <c r="BH26" s="33">
        <f t="shared" si="5"/>
        <v>65.589987352999998</v>
      </c>
      <c r="BI26" s="33">
        <f t="shared" si="5"/>
        <v>3.0558971380375E-2</v>
      </c>
      <c r="BJ26" s="33">
        <f t="shared" si="5"/>
        <v>0.24596245257374999</v>
      </c>
      <c r="BK26" s="33">
        <f t="shared" si="5"/>
        <v>0.43341640000000003</v>
      </c>
      <c r="BL26" s="200">
        <f t="shared" si="6"/>
        <v>1.2E-2</v>
      </c>
      <c r="BM26" s="200">
        <v>1.2E-2</v>
      </c>
      <c r="BN26" s="200">
        <f t="shared" si="7"/>
        <v>0.39119025985825912</v>
      </c>
      <c r="BO26" s="200">
        <v>0.88</v>
      </c>
      <c r="BP26" s="200">
        <v>4.0999999999999999E-4</v>
      </c>
      <c r="BQ26" s="200">
        <v>3.3E-3</v>
      </c>
      <c r="BR26" s="200">
        <f t="shared" si="7"/>
        <v>5.8150099945484283E-3</v>
      </c>
    </row>
    <row r="27" spans="1:70" x14ac:dyDescent="0.25">
      <c r="A27" s="172">
        <v>109</v>
      </c>
      <c r="B27" t="s">
        <v>423</v>
      </c>
      <c r="C27" s="172">
        <v>3</v>
      </c>
      <c r="D27" s="172">
        <v>3</v>
      </c>
      <c r="E27" s="177" t="str">
        <f t="shared" si="0"/>
        <v>109-3</v>
      </c>
      <c r="F27" s="177" t="str">
        <f t="shared" si="8"/>
        <v>109-3</v>
      </c>
      <c r="G27" s="172" t="s">
        <v>424</v>
      </c>
      <c r="H27" s="172" t="s">
        <v>431</v>
      </c>
      <c r="I27" t="s">
        <v>433</v>
      </c>
      <c r="J27" t="s">
        <v>427</v>
      </c>
      <c r="K27">
        <v>28</v>
      </c>
      <c r="L27" t="s">
        <v>428</v>
      </c>
      <c r="M27" s="198"/>
      <c r="N27" s="198"/>
      <c r="O27" s="198"/>
      <c r="P27" s="198"/>
      <c r="Q27" s="199">
        <v>306</v>
      </c>
      <c r="R27" s="189" t="s">
        <v>429</v>
      </c>
      <c r="S27" s="172">
        <v>1</v>
      </c>
      <c r="T27" s="172">
        <v>3</v>
      </c>
      <c r="U27" s="172">
        <v>1</v>
      </c>
      <c r="V27" s="172">
        <v>3</v>
      </c>
      <c r="X27" s="172">
        <v>0.379</v>
      </c>
      <c r="Z27" s="172">
        <v>0.137575</v>
      </c>
      <c r="AD27" t="s">
        <v>464</v>
      </c>
      <c r="AE27" t="e">
        <v>#VALUE!</v>
      </c>
      <c r="AF27" s="73" t="e">
        <v>#VALUE!</v>
      </c>
      <c r="AH27" s="172"/>
      <c r="AI27" s="203" t="e">
        <v>#VALUE!</v>
      </c>
      <c r="AJ27" s="203" t="e">
        <v>#VALUE!</v>
      </c>
      <c r="AK27" s="172"/>
      <c r="AL27" s="172" t="e">
        <v>#VALUE!</v>
      </c>
      <c r="AM27" s="172" t="e">
        <v>#VALUE!</v>
      </c>
      <c r="AN27" s="172" t="e">
        <v>#VALUE!</v>
      </c>
      <c r="AO27" s="172" t="e">
        <v>#VALUE!</v>
      </c>
      <c r="AP27" s="172" t="e">
        <v>#VALUE!</v>
      </c>
      <c r="AQ27" s="172" t="e">
        <v>#VALUE!</v>
      </c>
      <c r="AR27" s="172" t="e">
        <v>#VALUE!</v>
      </c>
      <c r="AS27" s="172" t="e">
        <v>#VALUE!</v>
      </c>
      <c r="AT27" s="172" t="e">
        <v>#VALUE!</v>
      </c>
      <c r="AU27" s="172" t="e">
        <v>#VALUE!</v>
      </c>
      <c r="AV27" s="172" t="e">
        <v>#VALUE!</v>
      </c>
      <c r="AW27" s="172">
        <v>20100907</v>
      </c>
      <c r="AX27" s="17">
        <f t="shared" si="2"/>
        <v>1.3757500000000001E-2</v>
      </c>
      <c r="AY27" s="17">
        <f t="shared" si="3"/>
        <v>1.3757500000000001E-2</v>
      </c>
      <c r="AZ27" s="17">
        <f>2*X27/100*7.1</f>
        <v>5.3817999999999998E-2</v>
      </c>
      <c r="BA27" s="17">
        <f t="shared" si="4"/>
        <v>0.44024000000000002</v>
      </c>
      <c r="BB27" s="17">
        <f t="shared" si="4"/>
        <v>1.1006E-2</v>
      </c>
      <c r="BC27" s="17">
        <f t="shared" si="4"/>
        <v>0.11693874999999999</v>
      </c>
      <c r="BD27">
        <v>8.0000000000000004E-4</v>
      </c>
      <c r="BE27" s="33">
        <f t="shared" si="5"/>
        <v>2.1048975000000003E-3</v>
      </c>
      <c r="BF27" s="33">
        <f t="shared" si="5"/>
        <v>2.1048975000000003E-3</v>
      </c>
      <c r="BG27" s="33">
        <f t="shared" si="5"/>
        <v>8.2341540000000005E-3</v>
      </c>
      <c r="BH27" s="33">
        <f t="shared" si="5"/>
        <v>6.7356720000000009E-2</v>
      </c>
      <c r="BI27" s="33">
        <f t="shared" si="5"/>
        <v>1.683918E-3</v>
      </c>
      <c r="BJ27" s="33">
        <f t="shared" si="5"/>
        <v>1.7891628749999999E-2</v>
      </c>
      <c r="BK27" s="33">
        <f t="shared" si="5"/>
        <v>1.2240000000000002E-4</v>
      </c>
      <c r="BL27" s="200">
        <f t="shared" si="6"/>
        <v>0.1</v>
      </c>
      <c r="BM27" s="200">
        <v>0.1</v>
      </c>
      <c r="BN27" s="200">
        <f t="shared" si="7"/>
        <v>0.39119025985825912</v>
      </c>
      <c r="BO27" s="200">
        <v>3.2</v>
      </c>
      <c r="BP27" s="200">
        <v>0.08</v>
      </c>
      <c r="BQ27" s="200">
        <v>0.85</v>
      </c>
      <c r="BR27" s="200">
        <f t="shared" si="7"/>
        <v>5.8150099945484283E-3</v>
      </c>
    </row>
    <row r="28" spans="1:70" x14ac:dyDescent="0.25">
      <c r="A28" s="173">
        <v>109</v>
      </c>
      <c r="B28" s="7" t="s">
        <v>423</v>
      </c>
      <c r="C28" s="173">
        <v>4</v>
      </c>
      <c r="D28" s="173">
        <v>4</v>
      </c>
      <c r="E28" s="193" t="str">
        <f t="shared" si="0"/>
        <v>109-4</v>
      </c>
      <c r="F28" s="193" t="str">
        <f t="shared" si="8"/>
        <v>109-4</v>
      </c>
      <c r="G28" s="173" t="s">
        <v>424</v>
      </c>
      <c r="H28" s="173" t="s">
        <v>431</v>
      </c>
      <c r="I28" s="7" t="s">
        <v>433</v>
      </c>
      <c r="J28" s="7" t="s">
        <v>427</v>
      </c>
      <c r="K28" s="7">
        <v>28</v>
      </c>
      <c r="L28" s="7" t="s">
        <v>428</v>
      </c>
      <c r="M28" s="204"/>
      <c r="N28" s="204"/>
      <c r="O28" s="204"/>
      <c r="P28" s="204"/>
      <c r="Q28" s="195"/>
      <c r="R28" s="196" t="s">
        <v>429</v>
      </c>
      <c r="S28" s="173">
        <v>1</v>
      </c>
      <c r="T28" s="173">
        <v>3</v>
      </c>
      <c r="U28" s="173">
        <v>0</v>
      </c>
      <c r="V28" s="173">
        <v>2</v>
      </c>
      <c r="W28" s="173"/>
      <c r="X28" s="173"/>
      <c r="Y28" s="173"/>
      <c r="Z28" s="173"/>
      <c r="AA28" s="173"/>
      <c r="AB28" s="173"/>
      <c r="AC28" s="173"/>
      <c r="AD28" s="7"/>
      <c r="AE28" s="7" t="e">
        <v>#VALUE!</v>
      </c>
      <c r="AF28" s="205" t="e">
        <v>#VALUE!</v>
      </c>
      <c r="AG28" s="7"/>
      <c r="AH28" s="173"/>
      <c r="AI28" s="206" t="e">
        <v>#VALUE!</v>
      </c>
      <c r="AJ28" s="206" t="e">
        <v>#VALUE!</v>
      </c>
      <c r="AK28" s="173"/>
      <c r="AL28" s="173" t="e">
        <v>#VALUE!</v>
      </c>
      <c r="AM28" s="173" t="e">
        <v>#VALUE!</v>
      </c>
      <c r="AN28" s="173" t="e">
        <v>#VALUE!</v>
      </c>
      <c r="AO28" s="173" t="e">
        <v>#VALUE!</v>
      </c>
      <c r="AP28" s="173" t="e">
        <v>#VALUE!</v>
      </c>
      <c r="AQ28" s="173" t="e">
        <v>#VALUE!</v>
      </c>
      <c r="AR28" s="173" t="e">
        <v>#VALUE!</v>
      </c>
      <c r="AS28" s="173" t="e">
        <v>#VALUE!</v>
      </c>
      <c r="AT28" s="173" t="e">
        <v>#VALUE!</v>
      </c>
      <c r="AU28" s="173" t="e">
        <v>#VALUE!</v>
      </c>
      <c r="AV28" s="173" t="e">
        <v>#VALUE!</v>
      </c>
      <c r="AW28" s="173">
        <v>20100907</v>
      </c>
      <c r="AX28" s="207"/>
      <c r="AY28" s="207"/>
      <c r="AZ28" s="207"/>
      <c r="BA28" s="207"/>
      <c r="BB28" s="207"/>
      <c r="BC28" s="208"/>
      <c r="BD28" s="209"/>
      <c r="BE28" s="210"/>
      <c r="BF28" s="210"/>
      <c r="BG28" s="210"/>
      <c r="BH28" s="210"/>
      <c r="BI28" s="210"/>
      <c r="BJ28" s="210"/>
      <c r="BK28" s="210"/>
      <c r="BL28" s="211"/>
      <c r="BM28" s="211"/>
      <c r="BN28" s="211"/>
      <c r="BO28" s="211"/>
      <c r="BP28" s="211"/>
      <c r="BQ28" s="211"/>
      <c r="BR28" s="211"/>
    </row>
    <row r="29" spans="1:70" x14ac:dyDescent="0.25">
      <c r="A29" s="172">
        <v>110</v>
      </c>
      <c r="B29" t="s">
        <v>434</v>
      </c>
      <c r="C29" s="172">
        <v>1</v>
      </c>
      <c r="D29" s="172" t="s">
        <v>435</v>
      </c>
      <c r="E29" s="177" t="str">
        <f t="shared" si="0"/>
        <v>110-1</v>
      </c>
      <c r="F29" s="177" t="str">
        <f t="shared" si="8"/>
        <v>110-1a</v>
      </c>
      <c r="G29" s="172" t="s">
        <v>424</v>
      </c>
      <c r="H29" s="172" t="s">
        <v>425</v>
      </c>
      <c r="I29" t="s">
        <v>426</v>
      </c>
      <c r="J29" t="s">
        <v>427</v>
      </c>
      <c r="K29">
        <v>672</v>
      </c>
      <c r="L29" t="s">
        <v>428</v>
      </c>
      <c r="M29" s="198"/>
      <c r="N29" s="198"/>
      <c r="O29" s="198"/>
      <c r="P29" s="198"/>
      <c r="Q29" s="199">
        <v>373269</v>
      </c>
      <c r="R29" s="189" t="s">
        <v>429</v>
      </c>
      <c r="S29" s="172">
        <v>1</v>
      </c>
      <c r="T29" s="172">
        <v>25</v>
      </c>
      <c r="U29" s="172">
        <v>2</v>
      </c>
      <c r="V29" s="172">
        <v>600</v>
      </c>
      <c r="X29" s="172">
        <v>9.7000000000000003E-2</v>
      </c>
      <c r="Z29" s="172">
        <v>0.133994</v>
      </c>
      <c r="AD29" t="s">
        <v>430</v>
      </c>
      <c r="AE29" t="e">
        <v>#VALUE!</v>
      </c>
      <c r="AF29" s="73" t="e">
        <v>#VALUE!</v>
      </c>
      <c r="AH29" s="172"/>
      <c r="AI29" s="203" t="e">
        <v>#VALUE!</v>
      </c>
      <c r="AJ29" s="203" t="e">
        <v>#VALUE!</v>
      </c>
      <c r="AK29" s="172"/>
      <c r="AL29" s="172" t="e">
        <v>#VALUE!</v>
      </c>
      <c r="AM29" s="172" t="e">
        <v>#VALUE!</v>
      </c>
      <c r="AN29" s="172" t="e">
        <v>#VALUE!</v>
      </c>
      <c r="AO29" s="172" t="e">
        <v>#VALUE!</v>
      </c>
      <c r="AP29" s="172" t="e">
        <v>#VALUE!</v>
      </c>
      <c r="AQ29" s="172" t="e">
        <v>#VALUE!</v>
      </c>
      <c r="AR29" s="172" t="e">
        <v>#VALUE!</v>
      </c>
      <c r="AS29" s="172" t="e">
        <v>#VALUE!</v>
      </c>
      <c r="AT29" s="172" t="e">
        <v>#VALUE!</v>
      </c>
      <c r="AU29" s="172" t="e">
        <v>#VALUE!</v>
      </c>
      <c r="AV29" s="172" t="e">
        <v>#VALUE!</v>
      </c>
      <c r="AW29" s="172">
        <v>20100109</v>
      </c>
      <c r="AX29" s="17">
        <f>AY29</f>
        <v>1.607928E-3</v>
      </c>
      <c r="AY29" s="17">
        <f>BM29*$Z29</f>
        <v>1.607928E-3</v>
      </c>
      <c r="AZ29" s="17">
        <f>2*X29/100*6.8</f>
        <v>1.3192000000000001E-2</v>
      </c>
      <c r="BA29" s="17">
        <f>BO29*$Z29</f>
        <v>0.11791472</v>
      </c>
      <c r="BB29" s="17">
        <f>BP29*$Z29</f>
        <v>5.4937539999999996E-5</v>
      </c>
      <c r="BC29" s="17">
        <f>BQ29*$Z29</f>
        <v>4.4218019999999999E-4</v>
      </c>
      <c r="BD29" s="17">
        <v>8.0000000000000004E-4</v>
      </c>
      <c r="BE29" s="33">
        <f t="shared" si="5"/>
        <v>0.30009483831599998</v>
      </c>
      <c r="BF29" s="33">
        <f t="shared" si="5"/>
        <v>0.30009483831599998</v>
      </c>
      <c r="BG29" s="33">
        <f t="shared" si="5"/>
        <v>2.4620823239999998</v>
      </c>
      <c r="BH29" s="33">
        <f t="shared" si="5"/>
        <v>22.00695480984</v>
      </c>
      <c r="BI29" s="33">
        <f t="shared" si="5"/>
        <v>1.025324030913E-2</v>
      </c>
      <c r="BJ29" s="33">
        <f t="shared" si="5"/>
        <v>8.2526080536899998E-2</v>
      </c>
      <c r="BK29" s="33">
        <f t="shared" si="5"/>
        <v>0.14930760000000001</v>
      </c>
      <c r="BL29" s="200">
        <f>BM29</f>
        <v>1.2E-2</v>
      </c>
      <c r="BM29" s="200">
        <v>1.2E-2</v>
      </c>
      <c r="BN29" s="200">
        <f t="shared" si="7"/>
        <v>9.8452169500126877E-2</v>
      </c>
      <c r="BO29" s="200">
        <v>0.88</v>
      </c>
      <c r="BP29" s="200">
        <v>4.0999999999999999E-4</v>
      </c>
      <c r="BQ29" s="200">
        <v>3.3E-3</v>
      </c>
      <c r="BR29" s="200">
        <f t="shared" si="7"/>
        <v>5.9704165858172759E-3</v>
      </c>
    </row>
    <row r="30" spans="1:70" x14ac:dyDescent="0.25">
      <c r="A30" s="172">
        <v>110</v>
      </c>
      <c r="B30" t="s">
        <v>434</v>
      </c>
      <c r="C30" s="172">
        <v>1</v>
      </c>
      <c r="D30" s="172" t="s">
        <v>435</v>
      </c>
      <c r="E30" s="177" t="str">
        <f t="shared" si="0"/>
        <v>110-1</v>
      </c>
      <c r="F30" s="177" t="str">
        <f t="shared" si="8"/>
        <v>110-1a</v>
      </c>
      <c r="G30" s="172" t="s">
        <v>424</v>
      </c>
      <c r="H30" s="172" t="s">
        <v>431</v>
      </c>
      <c r="I30" t="s">
        <v>426</v>
      </c>
      <c r="J30" t="s">
        <v>427</v>
      </c>
      <c r="K30">
        <v>672</v>
      </c>
      <c r="L30" t="s">
        <v>428</v>
      </c>
      <c r="M30" s="198"/>
      <c r="N30" s="198"/>
      <c r="O30" s="198"/>
      <c r="P30" s="198"/>
      <c r="Q30" s="199">
        <v>1279961</v>
      </c>
      <c r="R30" s="189" t="s">
        <v>429</v>
      </c>
      <c r="X30" s="172">
        <v>0.379</v>
      </c>
      <c r="Z30" s="172">
        <v>0.137575</v>
      </c>
      <c r="AD30" t="s">
        <v>464</v>
      </c>
      <c r="AF30" s="73"/>
      <c r="AH30" s="172"/>
      <c r="AI30" s="203"/>
      <c r="AJ30" s="203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>
        <v>20100109</v>
      </c>
      <c r="AX30" s="17">
        <f t="shared" ref="AX30:AX34" si="9">AY30</f>
        <v>1.6509000000000001E-3</v>
      </c>
      <c r="AY30" s="17">
        <f t="shared" ref="AY30:BC34" si="10">BM30*$Z30</f>
        <v>1.6509000000000001E-3</v>
      </c>
      <c r="AZ30" s="17">
        <f>2*X30/100*7.3</f>
        <v>5.5334000000000001E-2</v>
      </c>
      <c r="BA30" s="17">
        <f t="shared" si="10"/>
        <v>0.12106600000000001</v>
      </c>
      <c r="BB30" s="17">
        <f t="shared" si="10"/>
        <v>5.6405749999999998E-5</v>
      </c>
      <c r="BC30" s="17">
        <f t="shared" si="10"/>
        <v>4.5399749999999999E-4</v>
      </c>
      <c r="BD30" s="17">
        <v>8.0000000000000004E-4</v>
      </c>
      <c r="BE30" s="33">
        <f t="shared" si="5"/>
        <v>1.05654380745</v>
      </c>
      <c r="BF30" s="33">
        <f t="shared" si="5"/>
        <v>1.05654380745</v>
      </c>
      <c r="BG30" s="33">
        <f t="shared" si="5"/>
        <v>35.412680987000002</v>
      </c>
      <c r="BH30" s="33">
        <f t="shared" si="5"/>
        <v>77.479879213000004</v>
      </c>
      <c r="BI30" s="33">
        <f t="shared" si="5"/>
        <v>3.6098580087874997E-2</v>
      </c>
      <c r="BJ30" s="33">
        <f t="shared" si="5"/>
        <v>0.29054954704875002</v>
      </c>
      <c r="BK30" s="33">
        <f t="shared" si="5"/>
        <v>0.51198440000000001</v>
      </c>
      <c r="BL30" s="200">
        <f t="shared" ref="BL30:BL34" si="11">BM30</f>
        <v>1.2E-2</v>
      </c>
      <c r="BM30" s="200">
        <v>1.2E-2</v>
      </c>
      <c r="BN30" s="200">
        <f t="shared" si="7"/>
        <v>0.40220970379792842</v>
      </c>
      <c r="BO30" s="200">
        <v>0.88</v>
      </c>
      <c r="BP30" s="200">
        <v>4.0999999999999999E-4</v>
      </c>
      <c r="BQ30" s="200">
        <v>3.3E-3</v>
      </c>
      <c r="BR30" s="200">
        <f t="shared" si="7"/>
        <v>5.8150099945484283E-3</v>
      </c>
    </row>
    <row r="31" spans="1:70" x14ac:dyDescent="0.25">
      <c r="A31" s="172">
        <v>110</v>
      </c>
      <c r="B31" t="s">
        <v>434</v>
      </c>
      <c r="C31" s="172">
        <v>2</v>
      </c>
      <c r="D31" s="172" t="s">
        <v>436</v>
      </c>
      <c r="E31" s="177" t="str">
        <f t="shared" si="0"/>
        <v>110-2</v>
      </c>
      <c r="F31" s="177" t="str">
        <f t="shared" si="8"/>
        <v>110-2a</v>
      </c>
      <c r="G31" s="172" t="s">
        <v>424</v>
      </c>
      <c r="H31" s="172" t="s">
        <v>425</v>
      </c>
      <c r="I31" t="s">
        <v>426</v>
      </c>
      <c r="J31" t="s">
        <v>427</v>
      </c>
      <c r="K31">
        <v>672</v>
      </c>
      <c r="L31" t="s">
        <v>428</v>
      </c>
      <c r="M31" s="198"/>
      <c r="N31" s="198"/>
      <c r="O31" s="198"/>
      <c r="P31" s="198"/>
      <c r="Q31" s="199">
        <v>1010284</v>
      </c>
      <c r="R31" s="189" t="s">
        <v>429</v>
      </c>
      <c r="S31" s="172">
        <v>1</v>
      </c>
      <c r="T31" s="172">
        <v>18</v>
      </c>
      <c r="U31" s="172">
        <v>1</v>
      </c>
      <c r="V31" s="172">
        <v>506</v>
      </c>
      <c r="X31" s="172">
        <v>9.7000000000000003E-2</v>
      </c>
      <c r="Z31" s="172">
        <v>0.133994</v>
      </c>
      <c r="AD31" t="s">
        <v>430</v>
      </c>
      <c r="AE31" t="e">
        <v>#VALUE!</v>
      </c>
      <c r="AF31" s="73" t="e">
        <v>#VALUE!</v>
      </c>
      <c r="AH31" s="172"/>
      <c r="AI31" s="203" t="e">
        <v>#VALUE!</v>
      </c>
      <c r="AJ31" s="203" t="e">
        <v>#VALUE!</v>
      </c>
      <c r="AK31" s="172"/>
      <c r="AL31" s="172" t="e">
        <v>#VALUE!</v>
      </c>
      <c r="AM31" s="172" t="e">
        <v>#VALUE!</v>
      </c>
      <c r="AN31" s="172" t="e">
        <v>#VALUE!</v>
      </c>
      <c r="AO31" s="172" t="e">
        <v>#VALUE!</v>
      </c>
      <c r="AP31" s="172" t="e">
        <v>#VALUE!</v>
      </c>
      <c r="AQ31" s="172" t="e">
        <v>#VALUE!</v>
      </c>
      <c r="AR31" s="172" t="e">
        <v>#VALUE!</v>
      </c>
      <c r="AS31" s="172" t="e">
        <v>#VALUE!</v>
      </c>
      <c r="AT31" s="172" t="e">
        <v>#VALUE!</v>
      </c>
      <c r="AU31" s="172" t="e">
        <v>#VALUE!</v>
      </c>
      <c r="AV31" s="172" t="e">
        <v>#VALUE!</v>
      </c>
      <c r="AW31" s="172">
        <v>20100109</v>
      </c>
      <c r="AX31" s="17">
        <f t="shared" si="9"/>
        <v>1.607928E-3</v>
      </c>
      <c r="AY31" s="17">
        <f t="shared" si="10"/>
        <v>1.607928E-3</v>
      </c>
      <c r="AZ31" s="17">
        <f>2*X31/100*6.8</f>
        <v>1.3192000000000001E-2</v>
      </c>
      <c r="BA31" s="17">
        <f t="shared" si="10"/>
        <v>0.11791472</v>
      </c>
      <c r="BB31" s="17">
        <f t="shared" si="10"/>
        <v>5.4937539999999996E-5</v>
      </c>
      <c r="BC31" s="17">
        <f t="shared" si="10"/>
        <v>4.4218019999999999E-4</v>
      </c>
      <c r="BD31" s="17">
        <v>8.0000000000000004E-4</v>
      </c>
      <c r="BE31" s="33">
        <f t="shared" si="5"/>
        <v>0.81223196577599999</v>
      </c>
      <c r="BF31" s="33">
        <f t="shared" si="5"/>
        <v>0.81223196577599999</v>
      </c>
      <c r="BG31" s="33">
        <f t="shared" si="5"/>
        <v>6.663833264</v>
      </c>
      <c r="BH31" s="33">
        <f t="shared" si="5"/>
        <v>59.563677490239996</v>
      </c>
      <c r="BI31" s="33">
        <f t="shared" si="5"/>
        <v>2.7751258830679998E-2</v>
      </c>
      <c r="BJ31" s="33">
        <f t="shared" si="5"/>
        <v>0.22336379058839997</v>
      </c>
      <c r="BK31" s="33">
        <f t="shared" si="5"/>
        <v>0.40411360000000002</v>
      </c>
      <c r="BL31" s="200">
        <f t="shared" si="11"/>
        <v>1.2E-2</v>
      </c>
      <c r="BM31" s="200">
        <v>1.2E-2</v>
      </c>
      <c r="BN31" s="200">
        <f t="shared" si="7"/>
        <v>9.8452169500126877E-2</v>
      </c>
      <c r="BO31" s="200">
        <v>0.88</v>
      </c>
      <c r="BP31" s="200">
        <v>4.0999999999999999E-4</v>
      </c>
      <c r="BQ31" s="200">
        <v>3.3E-3</v>
      </c>
      <c r="BR31" s="200">
        <f t="shared" si="7"/>
        <v>5.9704165858172759E-3</v>
      </c>
    </row>
    <row r="32" spans="1:70" x14ac:dyDescent="0.25">
      <c r="A32" s="172">
        <v>110</v>
      </c>
      <c r="B32" t="s">
        <v>434</v>
      </c>
      <c r="C32" s="172">
        <v>2</v>
      </c>
      <c r="D32" s="172" t="s">
        <v>436</v>
      </c>
      <c r="E32" s="177" t="str">
        <f t="shared" si="0"/>
        <v>110-2</v>
      </c>
      <c r="F32" s="177" t="str">
        <f t="shared" si="8"/>
        <v>110-2a</v>
      </c>
      <c r="G32" s="172" t="s">
        <v>424</v>
      </c>
      <c r="H32" s="172" t="s">
        <v>431</v>
      </c>
      <c r="I32" t="s">
        <v>426</v>
      </c>
      <c r="J32" t="s">
        <v>427</v>
      </c>
      <c r="K32">
        <v>672</v>
      </c>
      <c r="L32" t="s">
        <v>428</v>
      </c>
      <c r="M32" s="198"/>
      <c r="N32" s="198"/>
      <c r="O32" s="198"/>
      <c r="P32" s="198"/>
      <c r="Q32" s="199">
        <v>6655802</v>
      </c>
      <c r="R32" s="189" t="s">
        <v>429</v>
      </c>
      <c r="X32" s="172">
        <v>0.379</v>
      </c>
      <c r="Z32" s="172">
        <v>0.137575</v>
      </c>
      <c r="AD32" t="s">
        <v>464</v>
      </c>
      <c r="AF32" s="73"/>
      <c r="AH32" s="172"/>
      <c r="AI32" s="203"/>
      <c r="AJ32" s="203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>
        <v>20100109</v>
      </c>
      <c r="AX32" s="17">
        <f t="shared" si="9"/>
        <v>1.6509000000000001E-3</v>
      </c>
      <c r="AY32" s="17">
        <f t="shared" si="10"/>
        <v>1.6509000000000001E-3</v>
      </c>
      <c r="AZ32" s="17">
        <f>2*X32/100*7.3</f>
        <v>5.5334000000000001E-2</v>
      </c>
      <c r="BA32" s="17">
        <f t="shared" si="10"/>
        <v>0.12106600000000001</v>
      </c>
      <c r="BB32" s="17">
        <f t="shared" si="10"/>
        <v>5.6405749999999998E-5</v>
      </c>
      <c r="BC32" s="17">
        <f t="shared" si="10"/>
        <v>4.5399749999999999E-4</v>
      </c>
      <c r="BD32" s="17">
        <v>8.0000000000000004E-4</v>
      </c>
      <c r="BE32" s="33">
        <f t="shared" si="5"/>
        <v>5.4940317609000004</v>
      </c>
      <c r="BF32" s="33">
        <f t="shared" si="5"/>
        <v>5.4940317609000004</v>
      </c>
      <c r="BG32" s="33">
        <f t="shared" si="5"/>
        <v>184.14607393400001</v>
      </c>
      <c r="BH32" s="33">
        <f t="shared" si="5"/>
        <v>402.89566246600003</v>
      </c>
      <c r="BI32" s="33">
        <f t="shared" si="5"/>
        <v>0.18771275183075001</v>
      </c>
      <c r="BJ32" s="33">
        <f t="shared" si="5"/>
        <v>1.5108587342474999</v>
      </c>
      <c r="BK32" s="33">
        <f t="shared" si="5"/>
        <v>2.6623207999999998</v>
      </c>
      <c r="BL32" s="200">
        <f t="shared" si="11"/>
        <v>1.2E-2</v>
      </c>
      <c r="BM32" s="200">
        <v>1.2E-2</v>
      </c>
      <c r="BN32" s="200">
        <f t="shared" si="7"/>
        <v>0.40220970379792842</v>
      </c>
      <c r="BO32" s="200">
        <v>0.88</v>
      </c>
      <c r="BP32" s="200">
        <v>4.0999999999999999E-4</v>
      </c>
      <c r="BQ32" s="200">
        <v>3.3E-3</v>
      </c>
      <c r="BR32" s="200">
        <f t="shared" si="7"/>
        <v>5.8150099945484283E-3</v>
      </c>
    </row>
    <row r="33" spans="1:70" x14ac:dyDescent="0.25">
      <c r="A33" s="172">
        <v>110</v>
      </c>
      <c r="B33" t="s">
        <v>434</v>
      </c>
      <c r="C33" s="172">
        <v>5</v>
      </c>
      <c r="D33" s="172">
        <v>5</v>
      </c>
      <c r="E33" s="177" t="str">
        <f t="shared" si="0"/>
        <v>110-5</v>
      </c>
      <c r="F33" s="177" t="str">
        <f t="shared" si="8"/>
        <v>110-5</v>
      </c>
      <c r="G33" s="172" t="s">
        <v>424</v>
      </c>
      <c r="H33" s="172" t="s">
        <v>425</v>
      </c>
      <c r="I33" t="s">
        <v>426</v>
      </c>
      <c r="J33" t="s">
        <v>427</v>
      </c>
      <c r="K33">
        <v>455</v>
      </c>
      <c r="L33" t="s">
        <v>428</v>
      </c>
      <c r="M33" s="198"/>
      <c r="N33" s="198"/>
      <c r="O33" s="198"/>
      <c r="P33" s="198"/>
      <c r="Q33" s="199">
        <v>1211881</v>
      </c>
      <c r="R33" s="189" t="s">
        <v>429</v>
      </c>
      <c r="S33" s="172">
        <v>7</v>
      </c>
      <c r="T33" s="172">
        <v>52</v>
      </c>
      <c r="U33" s="172">
        <v>24</v>
      </c>
      <c r="V33" s="172">
        <v>8580</v>
      </c>
      <c r="X33" s="172">
        <v>9.7000000000000003E-2</v>
      </c>
      <c r="Z33" s="172">
        <v>0.133994</v>
      </c>
      <c r="AD33" t="s">
        <v>430</v>
      </c>
      <c r="AE33" t="e">
        <v>#VALUE!</v>
      </c>
      <c r="AF33" t="e">
        <v>#VALUE!</v>
      </c>
      <c r="AI33" s="190" t="e">
        <v>#VALUE!</v>
      </c>
      <c r="AJ33" s="190" t="e">
        <v>#VALUE!</v>
      </c>
      <c r="AL33" s="172" t="e">
        <v>#VALUE!</v>
      </c>
      <c r="AM33" s="172" t="e">
        <v>#VALUE!</v>
      </c>
      <c r="AN33" s="172" t="e">
        <v>#VALUE!</v>
      </c>
      <c r="AO33" s="172" t="e">
        <v>#VALUE!</v>
      </c>
      <c r="AP33" s="172" t="e">
        <v>#VALUE!</v>
      </c>
      <c r="AQ33" s="172" t="e">
        <v>#VALUE!</v>
      </c>
      <c r="AR33" s="172" t="e">
        <v>#VALUE!</v>
      </c>
      <c r="AS33" s="172" t="e">
        <v>#VALUE!</v>
      </c>
      <c r="AT33" s="172" t="e">
        <v>#VALUE!</v>
      </c>
      <c r="AU33" s="172" t="e">
        <v>#VALUE!</v>
      </c>
      <c r="AV33" s="172" t="e">
        <v>#VALUE!</v>
      </c>
      <c r="AW33" s="172">
        <v>20100909</v>
      </c>
      <c r="AX33" s="17">
        <f t="shared" si="9"/>
        <v>1.607928E-3</v>
      </c>
      <c r="AY33" s="17">
        <f t="shared" si="10"/>
        <v>1.607928E-3</v>
      </c>
      <c r="AZ33" s="17">
        <f>2*X33/100*6.8</f>
        <v>1.3192000000000001E-2</v>
      </c>
      <c r="BA33" s="17">
        <f t="shared" si="10"/>
        <v>3.2158560000000003E-2</v>
      </c>
      <c r="BB33" s="17">
        <f t="shared" si="10"/>
        <v>5.4937539999999996E-5</v>
      </c>
      <c r="BC33" s="17">
        <f t="shared" si="10"/>
        <v>1.0183543999999999E-2</v>
      </c>
      <c r="BD33" s="17">
        <v>8.0000000000000004E-4</v>
      </c>
      <c r="BE33" s="33">
        <f t="shared" si="5"/>
        <v>0.97430869628399996</v>
      </c>
      <c r="BF33" s="33">
        <f t="shared" si="5"/>
        <v>0.97430869628399996</v>
      </c>
      <c r="BG33" s="33">
        <f t="shared" si="5"/>
        <v>7.9935670760000006</v>
      </c>
      <c r="BH33" s="33">
        <f t="shared" si="5"/>
        <v>19.486173925680003</v>
      </c>
      <c r="BI33" s="33">
        <f t="shared" si="5"/>
        <v>3.3288880456369997E-2</v>
      </c>
      <c r="BJ33" s="33">
        <f t="shared" si="5"/>
        <v>6.1706217431319992</v>
      </c>
      <c r="BK33" s="33">
        <f t="shared" si="5"/>
        <v>0.48475240000000003</v>
      </c>
      <c r="BL33" s="200">
        <f t="shared" si="11"/>
        <v>1.2E-2</v>
      </c>
      <c r="BM33" s="200">
        <v>1.2E-2</v>
      </c>
      <c r="BN33" s="200">
        <f t="shared" si="7"/>
        <v>9.8452169500126877E-2</v>
      </c>
      <c r="BO33" s="200">
        <v>0.24</v>
      </c>
      <c r="BP33" s="200">
        <v>4.0999999999999999E-4</v>
      </c>
      <c r="BQ33" s="200">
        <v>7.5999999999999998E-2</v>
      </c>
      <c r="BR33" s="200">
        <f t="shared" si="7"/>
        <v>5.9704165858172759E-3</v>
      </c>
    </row>
    <row r="34" spans="1:70" x14ac:dyDescent="0.25">
      <c r="A34" s="172">
        <v>110</v>
      </c>
      <c r="B34" t="s">
        <v>434</v>
      </c>
      <c r="C34" s="172">
        <v>5</v>
      </c>
      <c r="D34" s="172">
        <v>5</v>
      </c>
      <c r="E34" s="177" t="str">
        <f t="shared" si="0"/>
        <v>110-5</v>
      </c>
      <c r="F34" s="177" t="str">
        <f t="shared" si="8"/>
        <v>110-5</v>
      </c>
      <c r="G34" s="172" t="s">
        <v>424</v>
      </c>
      <c r="H34" s="172" t="s">
        <v>437</v>
      </c>
      <c r="I34" t="s">
        <v>426</v>
      </c>
      <c r="J34" t="s">
        <v>427</v>
      </c>
      <c r="K34">
        <v>455</v>
      </c>
      <c r="L34" t="s">
        <v>428</v>
      </c>
      <c r="M34" s="198"/>
      <c r="N34" s="198"/>
      <c r="O34" s="198"/>
      <c r="P34" s="198"/>
      <c r="Q34" s="199">
        <v>21162658</v>
      </c>
      <c r="R34" s="189" t="s">
        <v>429</v>
      </c>
      <c r="X34" s="172">
        <v>2.3999999999999998E-3</v>
      </c>
      <c r="Z34" s="172">
        <v>0.120626</v>
      </c>
      <c r="AD34" t="s">
        <v>437</v>
      </c>
      <c r="AI34" s="190"/>
      <c r="AJ34" s="190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>
        <v>20100909</v>
      </c>
      <c r="AX34" s="17">
        <f t="shared" si="9"/>
        <v>1.447512E-3</v>
      </c>
      <c r="AY34" s="17">
        <f t="shared" si="10"/>
        <v>1.447512E-3</v>
      </c>
      <c r="AZ34" s="24">
        <f>2*X34/100*6.1</f>
        <v>2.9279999999999996E-4</v>
      </c>
      <c r="BA34" s="17">
        <f t="shared" si="10"/>
        <v>2.8950239999999999E-2</v>
      </c>
      <c r="BB34" s="17">
        <f t="shared" si="10"/>
        <v>0</v>
      </c>
      <c r="BC34" s="17">
        <f t="shared" si="10"/>
        <v>9.1675760000000002E-3</v>
      </c>
      <c r="BD34" s="17">
        <v>8.0000000000000004E-4</v>
      </c>
      <c r="BE34" s="33">
        <f t="shared" si="5"/>
        <v>15.316600703448</v>
      </c>
      <c r="BF34" s="33">
        <f t="shared" si="5"/>
        <v>15.316600703448</v>
      </c>
      <c r="BG34" s="33">
        <f t="shared" si="5"/>
        <v>3.0982131311999996</v>
      </c>
      <c r="BH34" s="33">
        <f t="shared" si="5"/>
        <v>306.33201406896001</v>
      </c>
      <c r="BI34" s="33">
        <f t="shared" si="5"/>
        <v>0</v>
      </c>
      <c r="BJ34" s="33">
        <f t="shared" si="5"/>
        <v>97.005137788504001</v>
      </c>
      <c r="BK34" s="33">
        <f t="shared" si="5"/>
        <v>8.4650632000000012</v>
      </c>
      <c r="BL34" s="200">
        <f t="shared" si="11"/>
        <v>1.2E-2</v>
      </c>
      <c r="BM34" s="200">
        <v>1.2E-2</v>
      </c>
      <c r="BN34" s="200">
        <f t="shared" si="7"/>
        <v>2.4273373899490985E-3</v>
      </c>
      <c r="BO34" s="200">
        <v>0.24</v>
      </c>
      <c r="BP34" s="200"/>
      <c r="BQ34" s="200">
        <v>7.5999999999999998E-2</v>
      </c>
      <c r="BR34" s="200">
        <f t="shared" si="7"/>
        <v>6.632069371445626E-3</v>
      </c>
    </row>
    <row r="35" spans="1:70" x14ac:dyDescent="0.25">
      <c r="A35" s="172">
        <v>110</v>
      </c>
      <c r="B35" t="s">
        <v>434</v>
      </c>
      <c r="C35" s="172">
        <v>7</v>
      </c>
      <c r="D35" s="172">
        <v>7</v>
      </c>
      <c r="E35" s="177" t="str">
        <f t="shared" si="0"/>
        <v>110-7</v>
      </c>
      <c r="F35" s="177" t="str">
        <f t="shared" si="8"/>
        <v>110-7</v>
      </c>
      <c r="G35" s="172" t="s">
        <v>424</v>
      </c>
      <c r="H35" s="172" t="s">
        <v>438</v>
      </c>
      <c r="I35" t="s">
        <v>433</v>
      </c>
      <c r="J35" t="s">
        <v>439</v>
      </c>
      <c r="K35">
        <v>400</v>
      </c>
      <c r="L35" t="s">
        <v>440</v>
      </c>
      <c r="M35" s="198"/>
      <c r="N35" s="198"/>
      <c r="O35" s="198"/>
      <c r="P35" s="198"/>
      <c r="Q35" s="199">
        <v>0</v>
      </c>
      <c r="R35" s="189" t="s">
        <v>429</v>
      </c>
      <c r="S35" s="172">
        <v>7</v>
      </c>
      <c r="T35" s="172">
        <v>52</v>
      </c>
      <c r="U35" s="172">
        <v>24</v>
      </c>
      <c r="V35" s="172">
        <v>8736</v>
      </c>
      <c r="X35" s="172">
        <v>9.7000000000000003E-2</v>
      </c>
      <c r="Z35" s="172">
        <v>0.120626</v>
      </c>
      <c r="AD35" t="s">
        <v>441</v>
      </c>
      <c r="AE35" t="e">
        <v>#VALUE!</v>
      </c>
      <c r="AF35" s="73" t="e">
        <v>#VALUE!</v>
      </c>
      <c r="AH35" s="172"/>
      <c r="AI35" s="203" t="e">
        <v>#VALUE!</v>
      </c>
      <c r="AJ35" s="203" t="e">
        <v>#VALUE!</v>
      </c>
      <c r="AK35" s="172"/>
      <c r="AL35" s="172" t="e">
        <v>#VALUE!</v>
      </c>
      <c r="AM35" s="172" t="e">
        <v>#VALUE!</v>
      </c>
      <c r="AN35" s="172" t="e">
        <v>#VALUE!</v>
      </c>
      <c r="AO35" s="172" t="e">
        <v>#VALUE!</v>
      </c>
      <c r="AP35" s="172" t="e">
        <v>#VALUE!</v>
      </c>
      <c r="AQ35" s="172" t="e">
        <v>#VALUE!</v>
      </c>
      <c r="AR35" s="172" t="e">
        <v>#VALUE!</v>
      </c>
      <c r="AS35" s="172" t="e">
        <v>#VALUE!</v>
      </c>
      <c r="AT35" s="172" t="e">
        <v>#VALUE!</v>
      </c>
      <c r="AU35" s="172" t="e">
        <v>#VALUE!</v>
      </c>
      <c r="AV35" s="172" t="e">
        <v>#VALUE!</v>
      </c>
      <c r="AW35" s="172">
        <v>20100907</v>
      </c>
      <c r="BE35" s="33"/>
      <c r="BF35" s="33"/>
      <c r="BG35" s="33"/>
      <c r="BH35" s="33"/>
    </row>
    <row r="36" spans="1:70" x14ac:dyDescent="0.25">
      <c r="A36" s="172">
        <v>110</v>
      </c>
      <c r="B36" t="s">
        <v>434</v>
      </c>
      <c r="C36" s="172">
        <v>11</v>
      </c>
      <c r="D36" s="172">
        <v>11</v>
      </c>
      <c r="E36" s="177" t="str">
        <f t="shared" si="0"/>
        <v>110-11</v>
      </c>
      <c r="F36" s="177" t="str">
        <f t="shared" si="8"/>
        <v>110-11</v>
      </c>
      <c r="G36" s="172" t="s">
        <v>424</v>
      </c>
      <c r="H36" s="172" t="s">
        <v>421</v>
      </c>
      <c r="I36" t="s">
        <v>442</v>
      </c>
      <c r="J36" t="s">
        <v>443</v>
      </c>
      <c r="K36">
        <v>5</v>
      </c>
      <c r="L36" t="s">
        <v>428</v>
      </c>
      <c r="M36" s="198"/>
      <c r="N36" s="198"/>
      <c r="O36" s="198"/>
      <c r="P36" s="198"/>
      <c r="Q36" s="199">
        <v>3.7</v>
      </c>
      <c r="R36" s="189" t="s">
        <v>429</v>
      </c>
      <c r="S36" s="172">
        <v>7</v>
      </c>
      <c r="T36" s="172">
        <v>52</v>
      </c>
      <c r="U36" s="172">
        <v>24</v>
      </c>
      <c r="V36" s="172">
        <v>8736</v>
      </c>
      <c r="X36" s="172">
        <v>0.12</v>
      </c>
      <c r="Z36" s="172">
        <v>91.6</v>
      </c>
      <c r="AD36" t="s">
        <v>444</v>
      </c>
      <c r="AE36" t="e">
        <v>#VALUE!</v>
      </c>
      <c r="AF36" s="73" t="e">
        <v>#VALUE!</v>
      </c>
      <c r="AH36" s="172"/>
      <c r="AI36" s="203" t="e">
        <v>#VALUE!</v>
      </c>
      <c r="AJ36" s="203" t="e">
        <v>#VALUE!</v>
      </c>
      <c r="AK36" s="172"/>
      <c r="AL36" s="172" t="e">
        <v>#VALUE!</v>
      </c>
      <c r="AM36" s="172" t="e">
        <v>#VALUE!</v>
      </c>
      <c r="AN36" s="172" t="e">
        <v>#VALUE!</v>
      </c>
      <c r="AO36" s="172" t="e">
        <v>#VALUE!</v>
      </c>
      <c r="AP36" s="172" t="e">
        <v>#VALUE!</v>
      </c>
      <c r="AQ36" s="172" t="e">
        <v>#VALUE!</v>
      </c>
      <c r="AR36" s="172" t="e">
        <v>#VALUE!</v>
      </c>
      <c r="AS36" s="172" t="e">
        <v>#VALUE!</v>
      </c>
      <c r="AT36" s="172" t="e">
        <v>#VALUE!</v>
      </c>
      <c r="AU36" s="172" t="e">
        <v>#VALUE!</v>
      </c>
      <c r="AV36" s="172" t="e">
        <v>#VALUE!</v>
      </c>
      <c r="AW36" s="172">
        <v>10500110</v>
      </c>
      <c r="BE36" s="33"/>
      <c r="BF36" s="33"/>
      <c r="BG36" s="33"/>
      <c r="BH36" s="33"/>
    </row>
    <row r="37" spans="1:70" x14ac:dyDescent="0.25">
      <c r="A37" s="173">
        <v>110</v>
      </c>
      <c r="B37" s="7" t="s">
        <v>434</v>
      </c>
      <c r="C37" s="173">
        <v>12</v>
      </c>
      <c r="D37" s="173">
        <v>11</v>
      </c>
      <c r="E37" s="193" t="str">
        <f t="shared" si="0"/>
        <v>110-12</v>
      </c>
      <c r="F37" s="193" t="str">
        <f t="shared" si="8"/>
        <v>110-11</v>
      </c>
      <c r="G37" s="173" t="s">
        <v>424</v>
      </c>
      <c r="H37" s="173" t="s">
        <v>421</v>
      </c>
      <c r="I37" s="7" t="s">
        <v>442</v>
      </c>
      <c r="J37" s="7" t="s">
        <v>443</v>
      </c>
      <c r="K37" s="7">
        <v>5</v>
      </c>
      <c r="L37" s="7" t="s">
        <v>428</v>
      </c>
      <c r="M37" s="204"/>
      <c r="N37" s="204"/>
      <c r="O37" s="204"/>
      <c r="P37" s="204"/>
      <c r="Q37" s="195">
        <v>9772</v>
      </c>
      <c r="R37" s="196" t="s">
        <v>429</v>
      </c>
      <c r="S37" s="173">
        <v>7</v>
      </c>
      <c r="T37" s="173">
        <v>52</v>
      </c>
      <c r="U37" s="173">
        <v>24</v>
      </c>
      <c r="V37" s="173">
        <v>8736</v>
      </c>
      <c r="W37" s="173"/>
      <c r="X37" s="173">
        <v>0.12</v>
      </c>
      <c r="Y37" s="173"/>
      <c r="Z37" s="173">
        <v>91.6</v>
      </c>
      <c r="AA37" s="173"/>
      <c r="AB37" s="173"/>
      <c r="AC37" s="173"/>
      <c r="AD37" s="7" t="s">
        <v>444</v>
      </c>
      <c r="AE37" s="7" t="e">
        <v>#VALUE!</v>
      </c>
      <c r="AF37" s="205" t="e">
        <v>#VALUE!</v>
      </c>
      <c r="AG37" s="7"/>
      <c r="AH37" s="173"/>
      <c r="AI37" s="206" t="e">
        <v>#VALUE!</v>
      </c>
      <c r="AJ37" s="206" t="e">
        <v>#VALUE!</v>
      </c>
      <c r="AK37" s="173"/>
      <c r="AL37" s="173" t="e">
        <v>#VALUE!</v>
      </c>
      <c r="AM37" s="173" t="e">
        <v>#VALUE!</v>
      </c>
      <c r="AN37" s="173" t="e">
        <v>#VALUE!</v>
      </c>
      <c r="AO37" s="173" t="e">
        <v>#VALUE!</v>
      </c>
      <c r="AP37" s="173" t="e">
        <v>#VALUE!</v>
      </c>
      <c r="AQ37" s="173" t="e">
        <v>#VALUE!</v>
      </c>
      <c r="AR37" s="173" t="e">
        <v>#VALUE!</v>
      </c>
      <c r="AS37" s="173" t="e">
        <v>#VALUE!</v>
      </c>
      <c r="AT37" s="173" t="e">
        <v>#VALUE!</v>
      </c>
      <c r="AU37" s="173" t="e">
        <v>#VALUE!</v>
      </c>
      <c r="AV37" s="173" t="e">
        <v>#VALUE!</v>
      </c>
      <c r="AW37" s="173">
        <v>10500110</v>
      </c>
      <c r="AX37" s="7"/>
      <c r="AY37" s="7"/>
      <c r="AZ37" s="7"/>
      <c r="BA37" s="7"/>
      <c r="BB37" s="7"/>
      <c r="BC37" s="7"/>
      <c r="BD37" s="7"/>
      <c r="BE37" s="41"/>
      <c r="BF37" s="41"/>
      <c r="BG37" s="41"/>
      <c r="BH37" s="41"/>
      <c r="BI37" s="7"/>
      <c r="BJ37" s="7"/>
      <c r="BK37" s="7"/>
      <c r="BL37" s="7"/>
      <c r="BM37" s="7"/>
      <c r="BN37" s="7"/>
      <c r="BO37" s="7"/>
      <c r="BP37" s="7"/>
      <c r="BQ37" s="7"/>
      <c r="BR37" s="7"/>
    </row>
    <row r="38" spans="1:70" x14ac:dyDescent="0.25">
      <c r="A38" s="173">
        <v>315</v>
      </c>
      <c r="B38" s="7"/>
      <c r="C38" s="173"/>
      <c r="D38" s="173"/>
      <c r="E38" s="193"/>
      <c r="F38" s="193"/>
      <c r="G38" s="173"/>
      <c r="H38" s="173"/>
      <c r="I38" s="7"/>
      <c r="J38" s="7"/>
      <c r="K38" s="7"/>
      <c r="L38" s="7"/>
      <c r="M38" s="204"/>
      <c r="N38" s="204"/>
      <c r="O38" s="204"/>
      <c r="P38" s="204"/>
      <c r="Q38" s="195"/>
      <c r="R38" s="196"/>
      <c r="S38" s="173">
        <v>7</v>
      </c>
      <c r="T38" s="173">
        <v>52</v>
      </c>
      <c r="U38" s="173">
        <v>24</v>
      </c>
      <c r="V38" s="173">
        <v>8736</v>
      </c>
      <c r="W38" s="173"/>
      <c r="X38" s="173"/>
      <c r="Y38" s="173"/>
      <c r="Z38" s="173"/>
      <c r="AA38" s="173">
        <v>7599</v>
      </c>
      <c r="AB38" s="173"/>
      <c r="AC38" s="173"/>
      <c r="AD38" s="7"/>
      <c r="AE38" s="212" t="e">
        <v>#N/A</v>
      </c>
      <c r="AF38" s="213" t="e">
        <v>#N/A</v>
      </c>
      <c r="AG38" s="212"/>
      <c r="AH38" s="214"/>
      <c r="AI38" s="215" t="e">
        <v>#N/A</v>
      </c>
      <c r="AJ38" s="215" t="e">
        <v>#N/A</v>
      </c>
      <c r="AK38" s="214"/>
      <c r="AL38" s="214" t="e">
        <v>#N/A</v>
      </c>
      <c r="AM38" s="214" t="e">
        <v>#N/A</v>
      </c>
      <c r="AN38" s="214" t="e">
        <v>#N/A</v>
      </c>
      <c r="AO38" s="214" t="e">
        <v>#N/A</v>
      </c>
      <c r="AP38" s="214" t="e">
        <v>#N/A</v>
      </c>
      <c r="AQ38" s="214" t="e">
        <v>#N/A</v>
      </c>
      <c r="AR38" s="214" t="e">
        <v>#N/A</v>
      </c>
      <c r="AS38" s="214" t="e">
        <v>#N/A</v>
      </c>
      <c r="AT38" s="214" t="e">
        <v>#N/A</v>
      </c>
      <c r="AU38" s="214" t="e">
        <v>#N/A</v>
      </c>
      <c r="AV38" s="214" t="e">
        <v>#N/A</v>
      </c>
      <c r="AW38" s="216"/>
      <c r="AX38" s="33"/>
      <c r="AY38" s="33"/>
      <c r="AZ38" s="51"/>
      <c r="BA38" s="51"/>
      <c r="BB38" s="17"/>
      <c r="BC38" s="11"/>
      <c r="BD38" s="17"/>
      <c r="BE38" s="33"/>
      <c r="BF38" s="33"/>
      <c r="BG38" s="33"/>
      <c r="BH38" s="33"/>
      <c r="BI38" s="33"/>
      <c r="BJ38" s="11"/>
      <c r="BK38" s="33"/>
      <c r="BL38" s="200"/>
      <c r="BM38" s="200"/>
      <c r="BN38" s="200"/>
      <c r="BO38" s="200"/>
      <c r="BP38" s="200"/>
      <c r="BQ38" s="200"/>
      <c r="BR38" s="200"/>
    </row>
    <row r="39" spans="1:70" x14ac:dyDescent="0.25">
      <c r="A39" s="172">
        <v>316</v>
      </c>
      <c r="E39" s="177"/>
      <c r="F39" s="177"/>
      <c r="I39"/>
      <c r="J39"/>
      <c r="K39"/>
      <c r="L39"/>
      <c r="M39" s="198"/>
      <c r="N39" s="198"/>
      <c r="O39" s="198"/>
      <c r="P39" s="198"/>
      <c r="Q39" s="199"/>
      <c r="S39" s="172">
        <v>7</v>
      </c>
      <c r="T39" s="172">
        <v>52</v>
      </c>
      <c r="U39" s="172">
        <v>24</v>
      </c>
      <c r="V39" s="172">
        <v>8322</v>
      </c>
      <c r="Z39" s="49"/>
      <c r="AA39" s="172">
        <v>7587</v>
      </c>
      <c r="AB39" s="172" t="s">
        <v>445</v>
      </c>
      <c r="AD39" s="189"/>
      <c r="AE39" t="e">
        <v>#N/A</v>
      </c>
      <c r="AF39" s="73" t="e">
        <v>#N/A</v>
      </c>
      <c r="AH39" s="172"/>
      <c r="AI39" s="203" t="e">
        <v>#N/A</v>
      </c>
      <c r="AJ39" s="203" t="e">
        <v>#N/A</v>
      </c>
      <c r="AK39" s="172"/>
      <c r="AL39" s="172" t="e">
        <v>#N/A</v>
      </c>
      <c r="AM39" s="172" t="e">
        <v>#N/A</v>
      </c>
      <c r="AN39" s="172" t="e">
        <v>#N/A</v>
      </c>
      <c r="AO39" s="172" t="e">
        <v>#N/A</v>
      </c>
      <c r="AP39" s="172" t="e">
        <v>#N/A</v>
      </c>
      <c r="AQ39" s="172" t="e">
        <v>#N/A</v>
      </c>
      <c r="AR39" s="172" t="e">
        <v>#N/A</v>
      </c>
      <c r="AS39" s="172" t="e">
        <v>#N/A</v>
      </c>
      <c r="AT39" s="172" t="e">
        <v>#N/A</v>
      </c>
      <c r="AU39" s="172" t="e">
        <v>#N/A</v>
      </c>
      <c r="AV39" s="172" t="e">
        <v>#N/A</v>
      </c>
      <c r="AW39" s="217"/>
      <c r="AX39" s="33"/>
      <c r="AY39" s="33"/>
      <c r="AZ39" s="51"/>
      <c r="BA39" s="51"/>
      <c r="BB39" s="33"/>
      <c r="BC39" s="11"/>
      <c r="BD39" s="17"/>
      <c r="BE39" s="33"/>
      <c r="BF39" s="33"/>
      <c r="BG39" s="33"/>
      <c r="BH39" s="33"/>
      <c r="BI39" s="33"/>
      <c r="BJ39" s="11"/>
      <c r="BK39" s="33"/>
      <c r="BL39" s="200"/>
      <c r="BM39" s="200"/>
      <c r="BN39" s="200"/>
      <c r="BO39" s="200"/>
      <c r="BP39" s="200"/>
      <c r="BQ39" s="200"/>
      <c r="BR39" s="200"/>
    </row>
    <row r="40" spans="1:70" x14ac:dyDescent="0.25">
      <c r="A40" s="172">
        <v>316</v>
      </c>
      <c r="E40" s="177"/>
      <c r="F40" s="177"/>
      <c r="I40"/>
      <c r="J40"/>
      <c r="K40"/>
      <c r="L40"/>
      <c r="M40" s="198"/>
      <c r="N40" s="198"/>
      <c r="O40" s="198"/>
      <c r="P40" s="198"/>
      <c r="Q40" s="199"/>
      <c r="S40" s="172">
        <v>7</v>
      </c>
      <c r="T40" s="172">
        <v>52</v>
      </c>
      <c r="U40" s="172">
        <v>24</v>
      </c>
      <c r="V40" s="172">
        <v>8341</v>
      </c>
      <c r="Z40" s="49"/>
      <c r="AA40" s="172">
        <v>7587</v>
      </c>
      <c r="AB40" s="172" t="s">
        <v>445</v>
      </c>
      <c r="AD40" s="189"/>
      <c r="AE40" t="e">
        <v>#N/A</v>
      </c>
      <c r="AF40" s="73" t="e">
        <v>#N/A</v>
      </c>
      <c r="AH40" s="172"/>
      <c r="AI40" s="203" t="e">
        <v>#N/A</v>
      </c>
      <c r="AJ40" s="203" t="e">
        <v>#N/A</v>
      </c>
      <c r="AK40" s="172"/>
      <c r="AL40" s="172" t="e">
        <v>#N/A</v>
      </c>
      <c r="AM40" s="172" t="e">
        <v>#N/A</v>
      </c>
      <c r="AN40" s="172" t="e">
        <v>#N/A</v>
      </c>
      <c r="AO40" s="172" t="e">
        <v>#N/A</v>
      </c>
      <c r="AP40" s="172" t="e">
        <v>#N/A</v>
      </c>
      <c r="AQ40" s="172" t="e">
        <v>#N/A</v>
      </c>
      <c r="AR40" s="172" t="e">
        <v>#N/A</v>
      </c>
      <c r="AS40" s="172" t="e">
        <v>#N/A</v>
      </c>
      <c r="AT40" s="172" t="e">
        <v>#N/A</v>
      </c>
      <c r="AU40" s="172" t="e">
        <v>#N/A</v>
      </c>
      <c r="AV40" s="172" t="e">
        <v>#N/A</v>
      </c>
      <c r="AW40" s="217"/>
      <c r="AX40" s="33"/>
      <c r="AY40" s="33"/>
      <c r="AZ40" s="51"/>
      <c r="BA40" s="51"/>
      <c r="BB40" s="33"/>
      <c r="BC40" s="11"/>
      <c r="BD40" s="17"/>
      <c r="BE40" s="33"/>
      <c r="BF40" s="33"/>
      <c r="BG40" s="33"/>
      <c r="BH40" s="33"/>
      <c r="BI40" s="33"/>
      <c r="BJ40" s="11"/>
      <c r="BK40" s="33"/>
      <c r="BL40" s="200"/>
      <c r="BM40" s="200"/>
      <c r="BN40" s="200"/>
      <c r="BO40" s="200"/>
      <c r="BP40" s="200"/>
      <c r="BQ40" s="200"/>
      <c r="BR40" s="200"/>
    </row>
    <row r="41" spans="1:70" x14ac:dyDescent="0.25">
      <c r="A41" s="172">
        <v>316</v>
      </c>
      <c r="E41" s="177"/>
      <c r="F41" s="177"/>
      <c r="I41"/>
      <c r="J41"/>
      <c r="K41"/>
      <c r="L41"/>
      <c r="M41" s="198"/>
      <c r="N41" s="198"/>
      <c r="O41" s="198"/>
      <c r="P41" s="198"/>
      <c r="Q41" s="199"/>
      <c r="S41" s="172">
        <v>1</v>
      </c>
      <c r="T41" s="172">
        <v>9</v>
      </c>
      <c r="U41" s="172">
        <v>4</v>
      </c>
      <c r="V41" s="172">
        <v>2837</v>
      </c>
      <c r="AA41" s="172">
        <v>135</v>
      </c>
      <c r="AB41" s="172" t="s">
        <v>445</v>
      </c>
      <c r="AD41" s="189"/>
      <c r="AE41" t="e">
        <v>#N/A</v>
      </c>
      <c r="AF41" s="73" t="e">
        <v>#N/A</v>
      </c>
      <c r="AH41" s="172"/>
      <c r="AI41" s="203" t="e">
        <v>#N/A</v>
      </c>
      <c r="AJ41" s="203" t="e">
        <v>#N/A</v>
      </c>
      <c r="AK41" s="172"/>
      <c r="AL41" s="172" t="e">
        <v>#N/A</v>
      </c>
      <c r="AM41" s="172" t="e">
        <v>#N/A</v>
      </c>
      <c r="AN41" s="172" t="e">
        <v>#N/A</v>
      </c>
      <c r="AO41" s="172" t="e">
        <v>#N/A</v>
      </c>
      <c r="AP41" s="172" t="e">
        <v>#N/A</v>
      </c>
      <c r="AQ41" s="172" t="e">
        <v>#N/A</v>
      </c>
      <c r="AR41" s="172" t="e">
        <v>#N/A</v>
      </c>
      <c r="AS41" s="172" t="e">
        <v>#N/A</v>
      </c>
      <c r="AT41" s="172" t="e">
        <v>#N/A</v>
      </c>
      <c r="AU41" s="172" t="e">
        <v>#N/A</v>
      </c>
      <c r="AV41" s="172" t="e">
        <v>#N/A</v>
      </c>
      <c r="AW41" s="217"/>
      <c r="AX41" s="33"/>
      <c r="AY41" s="33"/>
      <c r="AZ41" s="51"/>
      <c r="BA41" s="51"/>
      <c r="BB41" s="33"/>
      <c r="BC41" s="11"/>
      <c r="BD41" s="17"/>
      <c r="BE41" s="33"/>
      <c r="BF41" s="33"/>
      <c r="BG41" s="33"/>
      <c r="BH41" s="33"/>
      <c r="BI41" s="33"/>
      <c r="BJ41" s="11"/>
      <c r="BK41" s="33"/>
      <c r="BL41" s="200"/>
      <c r="BM41" s="200"/>
      <c r="BN41" s="200"/>
      <c r="BO41" s="200"/>
      <c r="BP41" s="200"/>
      <c r="BQ41" s="200"/>
      <c r="BR41" s="200"/>
    </row>
    <row r="42" spans="1:70" x14ac:dyDescent="0.25">
      <c r="A42" s="172">
        <v>316</v>
      </c>
      <c r="E42" s="177"/>
      <c r="F42" s="177"/>
      <c r="I42"/>
      <c r="J42"/>
      <c r="K42"/>
      <c r="L42"/>
      <c r="M42" s="198"/>
      <c r="N42" s="198"/>
      <c r="O42" s="198"/>
      <c r="P42" s="198"/>
      <c r="Q42" s="199"/>
      <c r="S42" s="172">
        <v>1</v>
      </c>
      <c r="T42" s="172">
        <v>7</v>
      </c>
      <c r="U42" s="172">
        <v>3</v>
      </c>
      <c r="V42" s="172">
        <v>3299</v>
      </c>
      <c r="AA42" s="172">
        <v>135</v>
      </c>
      <c r="AB42" s="172" t="s">
        <v>445</v>
      </c>
      <c r="AD42" s="189"/>
      <c r="AE42" t="e">
        <v>#N/A</v>
      </c>
      <c r="AF42" s="73" t="e">
        <v>#N/A</v>
      </c>
      <c r="AH42" s="172"/>
      <c r="AI42" s="203" t="e">
        <v>#N/A</v>
      </c>
      <c r="AJ42" s="203" t="e">
        <v>#N/A</v>
      </c>
      <c r="AK42" s="172"/>
      <c r="AL42" s="172" t="e">
        <v>#N/A</v>
      </c>
      <c r="AM42" s="172" t="e">
        <v>#N/A</v>
      </c>
      <c r="AN42" s="172" t="e">
        <v>#N/A</v>
      </c>
      <c r="AO42" s="172" t="e">
        <v>#N/A</v>
      </c>
      <c r="AP42" s="172" t="e">
        <v>#N/A</v>
      </c>
      <c r="AQ42" s="172" t="e">
        <v>#N/A</v>
      </c>
      <c r="AR42" s="172" t="e">
        <v>#N/A</v>
      </c>
      <c r="AS42" s="172" t="e">
        <v>#N/A</v>
      </c>
      <c r="AT42" s="172" t="e">
        <v>#N/A</v>
      </c>
      <c r="AU42" s="172" t="e">
        <v>#N/A</v>
      </c>
      <c r="AV42" s="172" t="e">
        <v>#N/A</v>
      </c>
      <c r="AW42" s="217"/>
      <c r="AX42" s="33"/>
      <c r="AY42" s="33"/>
      <c r="AZ42" s="51"/>
      <c r="BA42" s="51"/>
      <c r="BB42" s="33"/>
      <c r="BC42" s="11"/>
      <c r="BD42" s="17"/>
      <c r="BE42" s="33"/>
      <c r="BF42" s="33"/>
      <c r="BG42" s="33"/>
      <c r="BH42" s="33"/>
      <c r="BI42" s="33"/>
      <c r="BJ42" s="11"/>
      <c r="BK42" s="33"/>
      <c r="BL42" s="200"/>
      <c r="BM42" s="200"/>
      <c r="BN42" s="200"/>
      <c r="BO42" s="200"/>
      <c r="BP42" s="200"/>
      <c r="BQ42" s="200"/>
      <c r="BR42" s="200"/>
    </row>
    <row r="43" spans="1:70" hidden="1" x14ac:dyDescent="0.25">
      <c r="A43" s="172">
        <v>316</v>
      </c>
      <c r="B43" t="s">
        <v>446</v>
      </c>
      <c r="C43" s="172">
        <v>4</v>
      </c>
      <c r="D43" s="172">
        <v>4</v>
      </c>
      <c r="E43" s="177" t="str">
        <f t="shared" si="0"/>
        <v>316-4</v>
      </c>
      <c r="F43" s="177" t="str">
        <f t="shared" si="8"/>
        <v>316-4</v>
      </c>
      <c r="G43" s="172" t="s">
        <v>420</v>
      </c>
      <c r="H43" s="172" t="s">
        <v>192</v>
      </c>
      <c r="I43" t="e">
        <v>#VALUE!</v>
      </c>
      <c r="J43" t="e">
        <v>#VALUE!</v>
      </c>
      <c r="K43" t="e">
        <v>#VALUE!</v>
      </c>
      <c r="L43" t="e">
        <v>#VALUE!</v>
      </c>
      <c r="M43" s="198"/>
      <c r="N43" s="198"/>
      <c r="O43" s="198"/>
      <c r="P43" s="198"/>
      <c r="Q43" s="199">
        <v>89.7</v>
      </c>
      <c r="R43" t="s">
        <v>447</v>
      </c>
      <c r="S43" s="172">
        <v>0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AD43" s="189"/>
      <c r="AE43" t="e">
        <v>#VALUE!</v>
      </c>
      <c r="AF43" s="73" t="e">
        <v>#VALUE!</v>
      </c>
      <c r="AH43" s="172"/>
      <c r="AI43" s="203" t="e">
        <v>#VALUE!</v>
      </c>
      <c r="AJ43" s="203" t="e">
        <v>#VALUE!</v>
      </c>
      <c r="AK43" s="172"/>
      <c r="AL43" s="172" t="e">
        <v>#VALUE!</v>
      </c>
      <c r="AM43" s="172" t="e">
        <v>#VALUE!</v>
      </c>
      <c r="AN43" s="172" t="e">
        <v>#VALUE!</v>
      </c>
      <c r="AO43" s="172" t="e">
        <v>#VALUE!</v>
      </c>
      <c r="AP43" s="172" t="e">
        <v>#VALUE!</v>
      </c>
      <c r="AQ43" s="172" t="e">
        <v>#VALUE!</v>
      </c>
      <c r="AR43" s="172" t="e">
        <v>#VALUE!</v>
      </c>
      <c r="AS43" s="172" t="e">
        <v>#VALUE!</v>
      </c>
      <c r="AT43" s="172" t="e">
        <v>#VALUE!</v>
      </c>
      <c r="AU43" s="172" t="e">
        <v>#VALUE!</v>
      </c>
      <c r="AV43" s="172" t="e">
        <v>#VALUE!</v>
      </c>
      <c r="AW43" s="217">
        <v>10300601</v>
      </c>
      <c r="BE43" s="33"/>
      <c r="BF43" s="33"/>
      <c r="BG43" s="33"/>
      <c r="BH43" s="33"/>
    </row>
    <row r="44" spans="1:70" x14ac:dyDescent="0.25">
      <c r="A44" s="172">
        <v>316</v>
      </c>
      <c r="E44" s="177"/>
      <c r="F44" s="177"/>
      <c r="I44"/>
      <c r="J44"/>
      <c r="K44"/>
      <c r="L44"/>
      <c r="M44" s="198"/>
      <c r="N44" s="198"/>
      <c r="O44" s="198"/>
      <c r="P44" s="198"/>
      <c r="Q44" s="199"/>
      <c r="S44" s="172">
        <v>2</v>
      </c>
      <c r="T44" s="172">
        <v>15</v>
      </c>
      <c r="U44" s="172">
        <v>7</v>
      </c>
      <c r="V44" s="172">
        <v>0</v>
      </c>
      <c r="AA44" s="172">
        <v>135</v>
      </c>
      <c r="AD44" s="189"/>
      <c r="AE44" t="e">
        <v>#N/A</v>
      </c>
      <c r="AF44" s="73" t="e">
        <v>#N/A</v>
      </c>
      <c r="AH44" s="172"/>
      <c r="AI44" s="203" t="e">
        <v>#N/A</v>
      </c>
      <c r="AJ44" s="203" t="e">
        <v>#N/A</v>
      </c>
      <c r="AK44" s="172"/>
      <c r="AL44" s="172" t="e">
        <v>#N/A</v>
      </c>
      <c r="AM44" s="172" t="e">
        <v>#N/A</v>
      </c>
      <c r="AN44" s="172" t="e">
        <v>#N/A</v>
      </c>
      <c r="AO44" s="172" t="e">
        <v>#N/A</v>
      </c>
      <c r="AP44" s="172" t="e">
        <v>#N/A</v>
      </c>
      <c r="AQ44" s="172" t="e">
        <v>#N/A</v>
      </c>
      <c r="AR44" s="172" t="e">
        <v>#N/A</v>
      </c>
      <c r="AS44" s="172" t="e">
        <v>#N/A</v>
      </c>
      <c r="AT44" s="172" t="e">
        <v>#N/A</v>
      </c>
      <c r="AU44" s="172" t="e">
        <v>#N/A</v>
      </c>
      <c r="AV44" s="172" t="e">
        <v>#N/A</v>
      </c>
      <c r="AW44" s="172"/>
      <c r="BE44" s="33"/>
      <c r="BF44" s="33"/>
      <c r="BG44" s="33"/>
      <c r="BH44" s="33"/>
    </row>
    <row r="45" spans="1:70" x14ac:dyDescent="0.25">
      <c r="A45" s="173">
        <v>316</v>
      </c>
      <c r="B45" s="7"/>
      <c r="C45" s="173"/>
      <c r="D45" s="173"/>
      <c r="E45" s="193"/>
      <c r="F45" s="193"/>
      <c r="G45" s="173"/>
      <c r="H45" s="173"/>
      <c r="I45" s="7"/>
      <c r="J45" s="7"/>
      <c r="K45" s="7"/>
      <c r="L45" s="7"/>
      <c r="M45" s="204"/>
      <c r="N45" s="204"/>
      <c r="O45" s="204"/>
      <c r="P45" s="204"/>
      <c r="Q45" s="195"/>
      <c r="R45" s="7"/>
      <c r="S45" s="173">
        <v>7</v>
      </c>
      <c r="T45" s="173">
        <v>52</v>
      </c>
      <c r="U45" s="173">
        <v>24</v>
      </c>
      <c r="V45" s="173">
        <v>8736</v>
      </c>
      <c r="W45" s="173"/>
      <c r="X45" s="173"/>
      <c r="Y45" s="173"/>
      <c r="Z45" s="173"/>
      <c r="AA45" s="173"/>
      <c r="AB45" s="173"/>
      <c r="AC45" s="173"/>
      <c r="AD45" s="196"/>
      <c r="AE45" s="7" t="e">
        <v>#N/A</v>
      </c>
      <c r="AF45" s="205" t="e">
        <v>#N/A</v>
      </c>
      <c r="AG45" s="7"/>
      <c r="AH45" s="173"/>
      <c r="AI45" s="206" t="e">
        <v>#N/A</v>
      </c>
      <c r="AJ45" s="206" t="e">
        <v>#N/A</v>
      </c>
      <c r="AK45" s="173"/>
      <c r="AL45" s="173" t="e">
        <v>#N/A</v>
      </c>
      <c r="AM45" s="173" t="e">
        <v>#N/A</v>
      </c>
      <c r="AN45" s="173" t="e">
        <v>#N/A</v>
      </c>
      <c r="AO45" s="173" t="e">
        <v>#N/A</v>
      </c>
      <c r="AP45" s="173" t="e">
        <v>#N/A</v>
      </c>
      <c r="AQ45" s="173" t="e">
        <v>#N/A</v>
      </c>
      <c r="AR45" s="173" t="e">
        <v>#N/A</v>
      </c>
      <c r="AS45" s="173" t="e">
        <v>#N/A</v>
      </c>
      <c r="AT45" s="173" t="e">
        <v>#N/A</v>
      </c>
      <c r="AU45" s="173" t="e">
        <v>#N/A</v>
      </c>
      <c r="AV45" s="173" t="e">
        <v>#N/A</v>
      </c>
      <c r="AW45" s="216"/>
      <c r="BE45" s="33"/>
      <c r="BF45" s="33"/>
      <c r="BG45" s="33"/>
      <c r="BH45" s="33"/>
    </row>
    <row r="46" spans="1:70" x14ac:dyDescent="0.25">
      <c r="A46" s="172">
        <v>1121</v>
      </c>
      <c r="E46" s="177"/>
      <c r="F46" s="177"/>
      <c r="I46"/>
      <c r="J46"/>
      <c r="K46"/>
      <c r="L46"/>
      <c r="M46" s="198"/>
      <c r="N46" s="198"/>
      <c r="O46" s="198"/>
      <c r="P46" s="198"/>
      <c r="Q46" s="199"/>
      <c r="S46" s="172">
        <v>7</v>
      </c>
      <c r="T46" s="172">
        <v>52</v>
      </c>
      <c r="U46" s="172">
        <v>24</v>
      </c>
      <c r="V46" s="172">
        <v>8736</v>
      </c>
      <c r="Y46" s="172" t="s">
        <v>445</v>
      </c>
      <c r="AA46" s="172" t="s">
        <v>445</v>
      </c>
      <c r="AB46" s="172">
        <v>15.14</v>
      </c>
      <c r="AC46" s="172" t="s">
        <v>445</v>
      </c>
      <c r="AE46" t="e">
        <v>#N/A</v>
      </c>
      <c r="AF46" s="73" t="e">
        <v>#N/A</v>
      </c>
      <c r="AH46" s="172"/>
      <c r="AI46" s="218" t="e">
        <v>#N/A</v>
      </c>
      <c r="AJ46" s="218" t="e">
        <v>#N/A</v>
      </c>
      <c r="AK46" s="172"/>
      <c r="AL46" s="172" t="e">
        <v>#N/A</v>
      </c>
      <c r="AM46" s="172" t="e">
        <v>#N/A</v>
      </c>
      <c r="AN46" s="172" t="e">
        <v>#N/A</v>
      </c>
      <c r="AO46" s="172" t="e">
        <v>#N/A</v>
      </c>
      <c r="AP46" s="172" t="e">
        <v>#N/A</v>
      </c>
      <c r="AQ46" s="172" t="e">
        <v>#N/A</v>
      </c>
      <c r="AR46" s="172" t="e">
        <v>#N/A</v>
      </c>
      <c r="AS46" s="172" t="e">
        <v>#N/A</v>
      </c>
      <c r="AT46" s="172" t="e">
        <v>#N/A</v>
      </c>
      <c r="AU46" s="172" t="e">
        <v>#N/A</v>
      </c>
      <c r="AV46" s="172" t="e">
        <v>#N/A</v>
      </c>
      <c r="AW46" s="217"/>
      <c r="AY46" s="33"/>
      <c r="AZ46" s="51"/>
      <c r="BA46" s="51"/>
      <c r="BB46" s="33"/>
      <c r="BC46" s="11"/>
      <c r="BD46" s="17"/>
      <c r="BE46" s="33"/>
      <c r="BF46" s="33"/>
      <c r="BG46" s="33"/>
      <c r="BH46" s="33"/>
      <c r="BI46" s="33"/>
      <c r="BJ46" s="11"/>
      <c r="BK46" s="33"/>
      <c r="BL46" s="200"/>
      <c r="BM46" s="200"/>
      <c r="BN46" s="200"/>
      <c r="BO46" s="200"/>
      <c r="BP46" s="200"/>
      <c r="BQ46" s="200"/>
      <c r="BR46" s="200"/>
    </row>
    <row r="47" spans="1:70" x14ac:dyDescent="0.25">
      <c r="A47" s="172">
        <v>1121</v>
      </c>
      <c r="E47" s="177"/>
      <c r="F47" s="177"/>
      <c r="I47"/>
      <c r="J47"/>
      <c r="K47"/>
      <c r="L47"/>
      <c r="M47" s="198"/>
      <c r="N47" s="198"/>
      <c r="O47" s="198"/>
      <c r="P47" s="198"/>
      <c r="Q47" s="199"/>
      <c r="S47" s="172">
        <v>7</v>
      </c>
      <c r="T47" s="172">
        <v>52</v>
      </c>
      <c r="U47" s="172">
        <v>24</v>
      </c>
      <c r="V47" s="172">
        <v>8736</v>
      </c>
      <c r="AB47" s="172">
        <v>15.14</v>
      </c>
      <c r="AE47" t="e">
        <v>#N/A</v>
      </c>
      <c r="AF47" s="73" t="e">
        <v>#N/A</v>
      </c>
      <c r="AH47" s="172"/>
      <c r="AI47" s="203" t="e">
        <v>#N/A</v>
      </c>
      <c r="AJ47" s="203" t="e">
        <v>#N/A</v>
      </c>
      <c r="AK47" s="172"/>
      <c r="AL47" s="172" t="e">
        <v>#N/A</v>
      </c>
      <c r="AM47" s="172" t="e">
        <v>#N/A</v>
      </c>
      <c r="AN47" s="172" t="e">
        <v>#N/A</v>
      </c>
      <c r="AO47" s="172" t="e">
        <v>#N/A</v>
      </c>
      <c r="AP47" s="172" t="e">
        <v>#N/A</v>
      </c>
      <c r="AQ47" s="172" t="e">
        <v>#N/A</v>
      </c>
      <c r="AR47" s="172" t="e">
        <v>#N/A</v>
      </c>
      <c r="AS47" s="172" t="e">
        <v>#N/A</v>
      </c>
      <c r="AT47" s="172" t="e">
        <v>#N/A</v>
      </c>
      <c r="AU47" s="172" t="e">
        <v>#N/A</v>
      </c>
      <c r="AV47" s="172" t="e">
        <v>#N/A</v>
      </c>
      <c r="AW47" s="217"/>
      <c r="AY47" s="33"/>
      <c r="AZ47" s="51"/>
      <c r="BA47" s="51"/>
      <c r="BB47" s="33"/>
      <c r="BC47" s="11"/>
      <c r="BD47" s="17"/>
      <c r="BE47" s="33"/>
      <c r="BF47" s="33"/>
      <c r="BG47" s="33"/>
      <c r="BH47" s="33"/>
      <c r="BI47" s="33"/>
      <c r="BJ47" s="11"/>
      <c r="BK47" s="33"/>
      <c r="BL47" s="200"/>
      <c r="BM47" s="200"/>
      <c r="BN47" s="200"/>
      <c r="BO47" s="200"/>
      <c r="BP47" s="200"/>
      <c r="BQ47" s="200"/>
      <c r="BR47" s="200"/>
    </row>
    <row r="48" spans="1:70" x14ac:dyDescent="0.25">
      <c r="A48" s="172">
        <v>1121</v>
      </c>
      <c r="E48" s="177"/>
      <c r="F48" s="177"/>
      <c r="I48"/>
      <c r="J48"/>
      <c r="K48"/>
      <c r="L48"/>
      <c r="M48" s="198"/>
      <c r="N48" s="198"/>
      <c r="O48" s="198"/>
      <c r="P48" s="198"/>
      <c r="Q48" s="199"/>
      <c r="S48" s="172">
        <v>7</v>
      </c>
      <c r="T48" s="172">
        <v>52</v>
      </c>
      <c r="U48" s="172">
        <v>24</v>
      </c>
      <c r="V48" s="172">
        <v>8736</v>
      </c>
      <c r="AB48" s="172">
        <v>15.14</v>
      </c>
      <c r="AE48" t="e">
        <v>#N/A</v>
      </c>
      <c r="AF48" t="e">
        <v>#N/A</v>
      </c>
      <c r="AI48" s="190" t="e">
        <v>#N/A</v>
      </c>
      <c r="AJ48" s="190" t="e">
        <v>#N/A</v>
      </c>
      <c r="AL48" s="172" t="e">
        <v>#N/A</v>
      </c>
      <c r="AM48" s="172" t="e">
        <v>#N/A</v>
      </c>
      <c r="AN48" s="172" t="e">
        <v>#N/A</v>
      </c>
      <c r="AO48" s="172" t="e">
        <v>#N/A</v>
      </c>
      <c r="AP48" s="172" t="e">
        <v>#N/A</v>
      </c>
      <c r="AQ48" s="172" t="e">
        <v>#N/A</v>
      </c>
      <c r="AR48" s="172" t="e">
        <v>#N/A</v>
      </c>
      <c r="AS48" s="172" t="e">
        <v>#N/A</v>
      </c>
      <c r="AT48" s="172" t="e">
        <v>#N/A</v>
      </c>
      <c r="AU48" s="172" t="e">
        <v>#N/A</v>
      </c>
      <c r="AV48" s="172" t="e">
        <v>#N/A</v>
      </c>
      <c r="AW48" s="217"/>
      <c r="AY48" s="33"/>
      <c r="AZ48" s="51"/>
      <c r="BA48" s="51"/>
      <c r="BB48" s="33"/>
      <c r="BC48" s="11"/>
      <c r="BD48" s="17"/>
      <c r="BE48" s="33"/>
      <c r="BF48" s="33"/>
      <c r="BG48" s="33"/>
      <c r="BH48" s="33"/>
      <c r="BI48" s="33"/>
      <c r="BJ48" s="11"/>
      <c r="BK48" s="33"/>
      <c r="BL48" s="200"/>
      <c r="BM48" s="200"/>
      <c r="BN48" s="200"/>
      <c r="BO48" s="200"/>
      <c r="BP48" s="200"/>
      <c r="BQ48" s="200"/>
      <c r="BR48" s="200"/>
    </row>
    <row r="49" spans="1:70" x14ac:dyDescent="0.25">
      <c r="A49" s="172">
        <v>1121</v>
      </c>
      <c r="E49" s="177"/>
      <c r="F49" s="177"/>
      <c r="I49"/>
      <c r="J49"/>
      <c r="K49"/>
      <c r="L49"/>
      <c r="M49" s="198"/>
      <c r="N49" s="198"/>
      <c r="O49" s="198"/>
      <c r="P49" s="198"/>
      <c r="Q49" s="199"/>
      <c r="S49" s="172">
        <v>7</v>
      </c>
      <c r="T49" s="172">
        <v>52</v>
      </c>
      <c r="U49" s="172">
        <v>24</v>
      </c>
      <c r="V49" s="172">
        <v>8736</v>
      </c>
      <c r="AB49" s="172">
        <v>15.14</v>
      </c>
      <c r="AE49" t="e">
        <v>#N/A</v>
      </c>
      <c r="AF49" t="e">
        <v>#N/A</v>
      </c>
      <c r="AI49" s="190" t="e">
        <v>#N/A</v>
      </c>
      <c r="AJ49" s="190" t="e">
        <v>#N/A</v>
      </c>
      <c r="AL49" s="172" t="e">
        <v>#N/A</v>
      </c>
      <c r="AM49" s="172" t="e">
        <v>#N/A</v>
      </c>
      <c r="AN49" s="172" t="e">
        <v>#N/A</v>
      </c>
      <c r="AO49" s="172" t="e">
        <v>#N/A</v>
      </c>
      <c r="AP49" s="172" t="e">
        <v>#N/A</v>
      </c>
      <c r="AQ49" s="172" t="e">
        <v>#N/A</v>
      </c>
      <c r="AR49" s="172" t="e">
        <v>#N/A</v>
      </c>
      <c r="AS49" s="172" t="e">
        <v>#N/A</v>
      </c>
      <c r="AT49" s="172" t="e">
        <v>#N/A</v>
      </c>
      <c r="AU49" s="172" t="e">
        <v>#N/A</v>
      </c>
      <c r="AV49" s="172" t="e">
        <v>#N/A</v>
      </c>
      <c r="AW49" s="217"/>
      <c r="AY49" s="33"/>
      <c r="AZ49" s="51"/>
      <c r="BA49" s="51"/>
      <c r="BB49" s="33"/>
      <c r="BC49" s="11"/>
      <c r="BD49" s="17"/>
      <c r="BE49" s="33"/>
      <c r="BF49" s="33"/>
      <c r="BG49" s="33"/>
      <c r="BH49" s="33"/>
      <c r="BI49" s="33"/>
      <c r="BJ49" s="11"/>
      <c r="BK49" s="33"/>
      <c r="BL49" s="200"/>
      <c r="BM49" s="200"/>
      <c r="BN49" s="200"/>
      <c r="BO49" s="200"/>
      <c r="BP49" s="200"/>
      <c r="BQ49" s="200"/>
      <c r="BR49" s="200"/>
    </row>
    <row r="50" spans="1:70" x14ac:dyDescent="0.25">
      <c r="A50" s="172">
        <v>1121</v>
      </c>
      <c r="E50" s="177"/>
      <c r="F50" s="177"/>
      <c r="I50"/>
      <c r="J50"/>
      <c r="K50"/>
      <c r="L50"/>
      <c r="M50" s="198"/>
      <c r="N50" s="198"/>
      <c r="O50" s="198"/>
      <c r="P50" s="198"/>
      <c r="Q50" s="199"/>
      <c r="S50" s="172">
        <v>7</v>
      </c>
      <c r="T50" s="172">
        <v>52</v>
      </c>
      <c r="U50" s="172">
        <v>24</v>
      </c>
      <c r="V50" s="172">
        <v>8736</v>
      </c>
      <c r="AB50" s="172">
        <v>15.14</v>
      </c>
      <c r="AE50" t="e">
        <v>#N/A</v>
      </c>
      <c r="AF50" t="e">
        <v>#N/A</v>
      </c>
      <c r="AI50" s="190" t="e">
        <v>#N/A</v>
      </c>
      <c r="AJ50" s="190" t="e">
        <v>#N/A</v>
      </c>
      <c r="AL50" s="172" t="e">
        <v>#N/A</v>
      </c>
      <c r="AM50" s="172" t="e">
        <v>#N/A</v>
      </c>
      <c r="AN50" s="172" t="e">
        <v>#N/A</v>
      </c>
      <c r="AO50" s="172" t="e">
        <v>#N/A</v>
      </c>
      <c r="AP50" s="172" t="e">
        <v>#N/A</v>
      </c>
      <c r="AQ50" s="172" t="e">
        <v>#N/A</v>
      </c>
      <c r="AR50" s="172" t="e">
        <v>#N/A</v>
      </c>
      <c r="AS50" s="172" t="e">
        <v>#N/A</v>
      </c>
      <c r="AT50" s="172" t="e">
        <v>#N/A</v>
      </c>
      <c r="AU50" s="172" t="e">
        <v>#N/A</v>
      </c>
      <c r="AV50" s="172" t="e">
        <v>#N/A</v>
      </c>
      <c r="AW50" s="217"/>
      <c r="AY50" s="33"/>
      <c r="AZ50" s="51"/>
      <c r="BA50" s="51"/>
      <c r="BB50" s="33"/>
      <c r="BC50" s="11"/>
      <c r="BD50" s="17"/>
      <c r="BE50" s="33"/>
      <c r="BF50" s="33"/>
      <c r="BG50" s="33"/>
      <c r="BH50" s="33"/>
      <c r="BI50" s="33"/>
      <c r="BJ50" s="11"/>
      <c r="BK50" s="33"/>
      <c r="BL50" s="200"/>
      <c r="BM50" s="200"/>
      <c r="BN50" s="200"/>
      <c r="BO50" s="200"/>
      <c r="BP50" s="200"/>
      <c r="BQ50" s="200"/>
      <c r="BR50" s="200"/>
    </row>
    <row r="51" spans="1:70" x14ac:dyDescent="0.25">
      <c r="A51" s="172">
        <v>1121</v>
      </c>
      <c r="E51" s="177"/>
      <c r="F51" s="177"/>
      <c r="I51"/>
      <c r="J51"/>
      <c r="K51"/>
      <c r="L51"/>
      <c r="M51" s="198"/>
      <c r="N51" s="198"/>
      <c r="O51" s="198"/>
      <c r="P51" s="198"/>
      <c r="Q51" s="199"/>
      <c r="S51" s="172">
        <v>7</v>
      </c>
      <c r="T51" s="172">
        <v>52</v>
      </c>
      <c r="U51" s="172">
        <v>24</v>
      </c>
      <c r="V51" s="172">
        <v>8736</v>
      </c>
      <c r="AB51" s="172">
        <v>15.14</v>
      </c>
      <c r="AE51" t="e">
        <v>#N/A</v>
      </c>
      <c r="AF51" t="e">
        <v>#N/A</v>
      </c>
      <c r="AI51" s="190" t="e">
        <v>#N/A</v>
      </c>
      <c r="AJ51" s="190" t="e">
        <v>#N/A</v>
      </c>
      <c r="AL51" s="172" t="e">
        <v>#N/A</v>
      </c>
      <c r="AM51" s="172" t="e">
        <v>#N/A</v>
      </c>
      <c r="AN51" s="172" t="e">
        <v>#N/A</v>
      </c>
      <c r="AO51" s="172" t="e">
        <v>#N/A</v>
      </c>
      <c r="AP51" s="172" t="e">
        <v>#N/A</v>
      </c>
      <c r="AQ51" s="172" t="e">
        <v>#N/A</v>
      </c>
      <c r="AR51" s="172" t="e">
        <v>#N/A</v>
      </c>
      <c r="AS51" s="172" t="e">
        <v>#N/A</v>
      </c>
      <c r="AT51" s="172" t="e">
        <v>#N/A</v>
      </c>
      <c r="AU51" s="172" t="e">
        <v>#N/A</v>
      </c>
      <c r="AV51" s="172" t="e">
        <v>#N/A</v>
      </c>
      <c r="AW51" s="217"/>
      <c r="AY51" s="33"/>
      <c r="AZ51" s="51"/>
      <c r="BA51" s="51"/>
      <c r="BB51" s="33"/>
      <c r="BC51" s="11"/>
      <c r="BD51" s="17"/>
      <c r="BE51" s="33"/>
      <c r="BF51" s="33"/>
      <c r="BG51" s="33"/>
      <c r="BH51" s="33"/>
      <c r="BI51" s="33"/>
      <c r="BJ51" s="11"/>
      <c r="BK51" s="33"/>
      <c r="BL51" s="200"/>
      <c r="BM51" s="200"/>
      <c r="BN51" s="200"/>
      <c r="BO51" s="200"/>
      <c r="BP51" s="200"/>
      <c r="BQ51" s="200"/>
      <c r="BR51" s="200"/>
    </row>
    <row r="52" spans="1:70" x14ac:dyDescent="0.25">
      <c r="A52" s="173">
        <v>1121</v>
      </c>
      <c r="B52" s="7"/>
      <c r="C52" s="173"/>
      <c r="D52" s="173"/>
      <c r="E52" s="193"/>
      <c r="F52" s="193"/>
      <c r="G52" s="173"/>
      <c r="H52" s="173"/>
      <c r="I52" s="7"/>
      <c r="J52" s="7"/>
      <c r="K52" s="7"/>
      <c r="L52" s="7"/>
      <c r="M52" s="204"/>
      <c r="N52" s="204"/>
      <c r="O52" s="204"/>
      <c r="P52" s="204"/>
      <c r="Q52" s="195"/>
      <c r="R52" s="7"/>
      <c r="S52" s="173">
        <v>7</v>
      </c>
      <c r="T52" s="173">
        <v>52</v>
      </c>
      <c r="U52" s="173">
        <v>24</v>
      </c>
      <c r="V52" s="173">
        <v>5627</v>
      </c>
      <c r="W52" s="173"/>
      <c r="X52" s="173"/>
      <c r="Y52" s="173"/>
      <c r="Z52" s="173"/>
      <c r="AA52" s="173"/>
      <c r="AB52" s="173">
        <v>15.14</v>
      </c>
      <c r="AC52" s="173"/>
      <c r="AD52" s="7"/>
      <c r="AE52" s="7" t="e">
        <v>#N/A</v>
      </c>
      <c r="AF52" s="7" t="e">
        <v>#N/A</v>
      </c>
      <c r="AG52" s="7"/>
      <c r="AH52" s="7"/>
      <c r="AI52" s="197" t="e">
        <v>#N/A</v>
      </c>
      <c r="AJ52" s="197" t="e">
        <v>#N/A</v>
      </c>
      <c r="AK52" s="7"/>
      <c r="AL52" s="173" t="e">
        <v>#N/A</v>
      </c>
      <c r="AM52" s="173" t="e">
        <v>#N/A</v>
      </c>
      <c r="AN52" s="173" t="e">
        <v>#N/A</v>
      </c>
      <c r="AO52" s="173" t="e">
        <v>#N/A</v>
      </c>
      <c r="AP52" s="173" t="e">
        <v>#N/A</v>
      </c>
      <c r="AQ52" s="173" t="e">
        <v>#N/A</v>
      </c>
      <c r="AR52" s="173" t="e">
        <v>#N/A</v>
      </c>
      <c r="AS52" s="173" t="e">
        <v>#N/A</v>
      </c>
      <c r="AT52" s="173" t="e">
        <v>#N/A</v>
      </c>
      <c r="AU52" s="173" t="e">
        <v>#N/A</v>
      </c>
      <c r="AV52" s="173" t="e">
        <v>#N/A</v>
      </c>
      <c r="AW52" s="173"/>
      <c r="AY52" s="33"/>
      <c r="AZ52" s="51"/>
      <c r="BA52" s="51"/>
      <c r="BB52" s="33"/>
      <c r="BC52" s="11"/>
      <c r="BD52" s="17"/>
    </row>
    <row r="53" spans="1:70" x14ac:dyDescent="0.25">
      <c r="M53" s="49"/>
      <c r="Q53" s="219"/>
    </row>
    <row r="55" spans="1:70" x14ac:dyDescent="0.25">
      <c r="AX55" s="262"/>
      <c r="AY55" s="262"/>
      <c r="AZ55" s="262"/>
      <c r="BA55" s="262"/>
      <c r="BB55" s="262"/>
      <c r="BC55" s="262"/>
      <c r="BD55" s="262"/>
      <c r="BE55" s="262" t="s">
        <v>448</v>
      </c>
      <c r="BF55" s="262"/>
      <c r="BG55" s="262"/>
      <c r="BH55" s="262"/>
      <c r="BI55" s="262"/>
      <c r="BJ55" s="262"/>
      <c r="BK55" s="262"/>
      <c r="BL55" s="262" t="s">
        <v>449</v>
      </c>
      <c r="BM55" s="262"/>
      <c r="BN55" s="262"/>
      <c r="BO55" s="262"/>
      <c r="BP55" s="262"/>
      <c r="BQ55" s="262"/>
      <c r="BR55" s="262"/>
    </row>
    <row r="56" spans="1:70" ht="30" x14ac:dyDescent="0.25"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220"/>
      <c r="AY56" s="220"/>
      <c r="AZ56" s="220"/>
      <c r="BA56" s="220"/>
      <c r="BB56" s="220"/>
      <c r="BC56" s="220"/>
      <c r="BD56" s="220"/>
      <c r="BE56" s="220" t="s">
        <v>31</v>
      </c>
      <c r="BF56" s="220" t="s">
        <v>30</v>
      </c>
      <c r="BG56" s="220" t="s">
        <v>29</v>
      </c>
      <c r="BH56" s="220" t="s">
        <v>336</v>
      </c>
      <c r="BI56" s="220" t="s">
        <v>27</v>
      </c>
      <c r="BJ56" s="220" t="s">
        <v>33</v>
      </c>
      <c r="BK56" s="220" t="s">
        <v>32</v>
      </c>
      <c r="BL56" s="220" t="s">
        <v>31</v>
      </c>
      <c r="BM56" s="220" t="s">
        <v>30</v>
      </c>
      <c r="BN56" s="220" t="s">
        <v>29</v>
      </c>
      <c r="BO56" s="220" t="s">
        <v>336</v>
      </c>
      <c r="BP56" s="220" t="s">
        <v>27</v>
      </c>
      <c r="BQ56" s="220" t="s">
        <v>33</v>
      </c>
      <c r="BR56" s="220" t="s">
        <v>32</v>
      </c>
    </row>
    <row r="57" spans="1:70" x14ac:dyDescent="0.25">
      <c r="Q57" s="199">
        <f>SUM(Q23:Q28)</f>
        <v>1206348</v>
      </c>
      <c r="AD57" t="s">
        <v>423</v>
      </c>
      <c r="AW57" s="172">
        <v>109</v>
      </c>
      <c r="AX57" s="51"/>
      <c r="AY57" s="51"/>
      <c r="AZ57" s="51"/>
      <c r="BA57" s="51"/>
      <c r="BB57" s="51"/>
      <c r="BC57" s="51"/>
      <c r="BD57" s="51"/>
      <c r="BE57" s="51">
        <f t="shared" ref="BE57:BK57" si="12">SUM(BE23:BE28)</f>
        <v>0.99723982461000005</v>
      </c>
      <c r="BF57" s="51">
        <f t="shared" si="12"/>
        <v>0.99723982461000005</v>
      </c>
      <c r="BG57" s="51">
        <f t="shared" si="12"/>
        <v>32.088829682000004</v>
      </c>
      <c r="BH57" s="51">
        <f t="shared" si="12"/>
        <v>73.043918041400005</v>
      </c>
      <c r="BI57" s="51">
        <f t="shared" si="12"/>
        <v>3.5684361342924999E-2</v>
      </c>
      <c r="BJ57" s="51">
        <f t="shared" si="12"/>
        <v>0.29155373370525001</v>
      </c>
      <c r="BK57" s="51">
        <f t="shared" si="12"/>
        <v>0.48253920000000006</v>
      </c>
      <c r="BL57" s="222">
        <v>6.230354262262508E-2</v>
      </c>
      <c r="BM57" s="222">
        <v>6.2299895219324247E-2</v>
      </c>
      <c r="BN57" s="222">
        <v>0.75005853214294538</v>
      </c>
      <c r="BO57" s="222">
        <v>1.3191315948178486</v>
      </c>
      <c r="BP57" s="222">
        <v>0.26364189617421391</v>
      </c>
      <c r="BQ57" s="223" t="s">
        <v>150</v>
      </c>
      <c r="BR57" s="222">
        <v>1.4433190408664549</v>
      </c>
    </row>
    <row r="58" spans="1:70" x14ac:dyDescent="0.25">
      <c r="Q58" s="199">
        <f>SUM(Q29:Q37)</f>
        <v>31703630.699999999</v>
      </c>
      <c r="AD58" t="s">
        <v>434</v>
      </c>
      <c r="AW58" s="172">
        <v>110</v>
      </c>
      <c r="AX58" s="51"/>
      <c r="AY58" s="51"/>
      <c r="AZ58" s="51"/>
      <c r="BA58" s="51"/>
      <c r="BB58" s="51"/>
      <c r="BC58" s="51"/>
      <c r="BD58" s="51"/>
      <c r="BE58" s="51">
        <f t="shared" ref="BE58:BK58" si="13">SUM(BE29:BE37)</f>
        <v>23.953811772173999</v>
      </c>
      <c r="BF58" s="51">
        <f t="shared" si="13"/>
        <v>23.953811772173999</v>
      </c>
      <c r="BG58" s="51">
        <f t="shared" si="13"/>
        <v>239.7764507162</v>
      </c>
      <c r="BH58" s="51">
        <f t="shared" si="13"/>
        <v>887.76436197371993</v>
      </c>
      <c r="BI58" s="51">
        <f t="shared" si="13"/>
        <v>0.295104711514805</v>
      </c>
      <c r="BJ58" s="51">
        <f t="shared" si="13"/>
        <v>105.28305768405755</v>
      </c>
      <c r="BK58" s="51">
        <f t="shared" si="13"/>
        <v>12.677542000000001</v>
      </c>
      <c r="BL58" s="222">
        <v>0.1973361908561386</v>
      </c>
      <c r="BM58" s="222">
        <v>0.1973361908561386</v>
      </c>
      <c r="BN58" s="222">
        <v>0.8327706917575296</v>
      </c>
      <c r="BO58" s="222">
        <v>1.2504189072191352</v>
      </c>
      <c r="BP58" s="222">
        <v>0.38981881277992114</v>
      </c>
      <c r="BQ58" s="223" t="s">
        <v>150</v>
      </c>
      <c r="BR58" s="222">
        <v>1.104689831167283</v>
      </c>
    </row>
    <row r="59" spans="1:70" x14ac:dyDescent="0.25">
      <c r="AW59" s="172"/>
      <c r="AX59" s="51"/>
      <c r="AY59" s="51"/>
      <c r="AZ59" s="51"/>
      <c r="BA59" s="51"/>
      <c r="BB59" s="51"/>
      <c r="BC59" s="11"/>
      <c r="BD59" s="51"/>
      <c r="BE59" s="51"/>
      <c r="BF59" s="51"/>
      <c r="BG59" s="51"/>
      <c r="BH59" s="51"/>
      <c r="BI59" s="51"/>
      <c r="BJ59" s="11"/>
      <c r="BK59" s="51"/>
      <c r="BL59" s="51"/>
      <c r="BM59" s="51"/>
      <c r="BN59" s="51"/>
      <c r="BO59" s="51"/>
      <c r="BP59" s="51"/>
      <c r="BQ59" s="51"/>
      <c r="BR59" s="51"/>
    </row>
    <row r="60" spans="1:70" x14ac:dyDescent="0.25">
      <c r="P60" s="2" t="s">
        <v>450</v>
      </c>
      <c r="AW60" s="172"/>
      <c r="AX60" s="51"/>
      <c r="AY60" s="51"/>
      <c r="AZ60" s="51"/>
      <c r="BA60" s="51"/>
      <c r="BB60" s="51"/>
      <c r="BC60" s="11"/>
      <c r="BD60" s="51"/>
      <c r="BE60" s="51"/>
      <c r="BF60" s="51"/>
      <c r="BG60" s="51"/>
      <c r="BH60" s="51"/>
      <c r="BI60" s="51"/>
      <c r="BJ60" s="11"/>
      <c r="BK60" s="51"/>
      <c r="BL60" s="51"/>
      <c r="BM60" s="51"/>
      <c r="BN60" s="51"/>
      <c r="BO60" s="51"/>
      <c r="BP60" s="51"/>
      <c r="BQ60" s="51"/>
      <c r="BR60" s="51"/>
    </row>
    <row r="61" spans="1:70" x14ac:dyDescent="0.25">
      <c r="Q61" s="173" t="s">
        <v>451</v>
      </c>
      <c r="R61" s="7" t="s">
        <v>81</v>
      </c>
      <c r="W61" s="173"/>
      <c r="X61" s="173" t="s">
        <v>452</v>
      </c>
      <c r="AW61" s="172"/>
      <c r="AX61" s="51"/>
      <c r="AY61" s="51"/>
      <c r="AZ61" s="51"/>
      <c r="BA61" s="51"/>
      <c r="BB61" s="51"/>
      <c r="BC61" s="11"/>
      <c r="BD61" s="51"/>
      <c r="BE61" s="51"/>
      <c r="BF61" s="51"/>
      <c r="BG61" s="51"/>
      <c r="BH61" s="51"/>
      <c r="BI61" s="51"/>
      <c r="BJ61" s="11"/>
      <c r="BK61" s="51"/>
      <c r="BL61" s="51"/>
      <c r="BM61" s="51"/>
      <c r="BN61" s="51"/>
      <c r="BO61" s="51"/>
      <c r="BP61" s="51"/>
      <c r="BQ61" s="51"/>
      <c r="BR61" s="51"/>
    </row>
    <row r="62" spans="1:70" x14ac:dyDescent="0.25">
      <c r="Q62" s="199">
        <v>0</v>
      </c>
      <c r="R62" t="s">
        <v>454</v>
      </c>
    </row>
    <row r="63" spans="1:70" x14ac:dyDescent="0.25">
      <c r="Q63" s="199">
        <f>SUM(Q24,Q26:Q27,Q30,Q32)</f>
        <v>9123846</v>
      </c>
      <c r="R63" t="s">
        <v>456</v>
      </c>
      <c r="X63" s="172">
        <f>X24*10^4</f>
        <v>3790</v>
      </c>
    </row>
    <row r="64" spans="1:70" x14ac:dyDescent="0.25">
      <c r="Q64" s="199">
        <f>SUM(Q23,Q25,Q29,Q31,Q33)</f>
        <v>2613699</v>
      </c>
      <c r="R64" t="s">
        <v>458</v>
      </c>
      <c r="X64" s="172">
        <f>X23*10^4</f>
        <v>970</v>
      </c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</row>
    <row r="65" spans="17:24" x14ac:dyDescent="0.25">
      <c r="Q65" s="199">
        <f>Q35</f>
        <v>0</v>
      </c>
      <c r="R65" t="s">
        <v>460</v>
      </c>
      <c r="X65" s="172">
        <f>X35*10^4</f>
        <v>970</v>
      </c>
    </row>
    <row r="66" spans="17:24" x14ac:dyDescent="0.25">
      <c r="Q66" s="195">
        <f>Q34</f>
        <v>21162658</v>
      </c>
      <c r="R66" s="7" t="s">
        <v>461</v>
      </c>
      <c r="W66" s="173"/>
      <c r="X66" s="173">
        <f>X34*10^4</f>
        <v>23.999999999999996</v>
      </c>
    </row>
    <row r="67" spans="17:24" x14ac:dyDescent="0.25">
      <c r="Q67" s="226">
        <f>SUM(Q62:Q66)</f>
        <v>32900203</v>
      </c>
      <c r="R67" t="s">
        <v>462</v>
      </c>
    </row>
    <row r="69" spans="17:24" x14ac:dyDescent="0.25">
      <c r="W69" s="1" t="s">
        <v>463</v>
      </c>
      <c r="X69" s="227">
        <f>SUMPRODUCT(Q62:Q66,X62:X66)/Q67</f>
        <v>1143.5360493672333</v>
      </c>
    </row>
  </sheetData>
  <autoFilter ref="A5:BR52">
    <filterColumn colId="6">
      <filters>
        <filter val="P"/>
      </filters>
    </filterColumn>
  </autoFilter>
  <mergeCells count="9">
    <mergeCell ref="AX55:BD55"/>
    <mergeCell ref="BE55:BK55"/>
    <mergeCell ref="BL55:BR55"/>
    <mergeCell ref="I4:L4"/>
    <mergeCell ref="M4:AD4"/>
    <mergeCell ref="AE4:AV4"/>
    <mergeCell ref="AX4:BD4"/>
    <mergeCell ref="BE4:BK4"/>
    <mergeCell ref="BL4:BR4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3">
    <tabColor rgb="FFCCFFCC"/>
  </sheetPr>
  <dimension ref="A1:BU62"/>
  <sheetViews>
    <sheetView zoomScale="86" zoomScaleNormal="86" workbookViewId="0">
      <selection activeCell="BQ62" sqref="BQ62"/>
    </sheetView>
  </sheetViews>
  <sheetFormatPr defaultRowHeight="15" x14ac:dyDescent="0.25"/>
  <cols>
    <col min="1" max="1" width="9.140625" customWidth="1"/>
    <col min="2" max="2" width="42.42578125" customWidth="1"/>
    <col min="3" max="4" width="10.7109375" customWidth="1"/>
    <col min="5" max="6" width="10.7109375" hidden="1" customWidth="1"/>
    <col min="7" max="7" width="9.140625" hidden="1" customWidth="1"/>
    <col min="8" max="8" width="33.7109375" customWidth="1"/>
    <col min="9" max="9" width="23.28515625" customWidth="1"/>
    <col min="10" max="10" width="30.28515625" hidden="1" customWidth="1"/>
    <col min="11" max="11" width="9.140625" hidden="1" customWidth="1"/>
    <col min="12" max="12" width="23.42578125" hidden="1" customWidth="1"/>
    <col min="13" max="17" width="10.7109375" hidden="1" customWidth="1"/>
    <col min="18" max="18" width="14.42578125" hidden="1" customWidth="1"/>
    <col min="19" max="22" width="9.140625" hidden="1" customWidth="1"/>
    <col min="23" max="24" width="17.7109375" customWidth="1"/>
    <col min="25" max="25" width="16" hidden="1" customWidth="1"/>
    <col min="26" max="26" width="4.28515625" hidden="1" customWidth="1"/>
    <col min="27" max="27" width="40.28515625" customWidth="1"/>
    <col min="28" max="28" width="10.85546875" hidden="1" customWidth="1"/>
    <col min="29" max="30" width="8.85546875" hidden="1" customWidth="1"/>
    <col min="31" max="32" width="12.7109375" hidden="1" customWidth="1"/>
    <col min="33" max="33" width="13.5703125" hidden="1" customWidth="1"/>
    <col min="34" max="34" width="10.7109375" hidden="1" customWidth="1"/>
    <col min="35" max="35" width="10.28515625" hidden="1" customWidth="1"/>
    <col min="36" max="37" width="8.85546875" hidden="1" customWidth="1"/>
    <col min="38" max="38" width="9.85546875" hidden="1" customWidth="1"/>
    <col min="39" max="44" width="8.85546875" hidden="1" customWidth="1"/>
    <col min="45" max="45" width="16" customWidth="1"/>
  </cols>
  <sheetData>
    <row r="1" spans="1:73" ht="18.75" x14ac:dyDescent="0.3">
      <c r="A1" s="259" t="s">
        <v>471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</row>
    <row r="3" spans="1:73" x14ac:dyDescent="0.25">
      <c r="M3" s="177" t="s">
        <v>362</v>
      </c>
      <c r="N3" s="177" t="s">
        <v>363</v>
      </c>
      <c r="O3" s="177" t="s">
        <v>364</v>
      </c>
      <c r="P3" s="177" t="s">
        <v>365</v>
      </c>
      <c r="AT3" s="262" t="s">
        <v>472</v>
      </c>
      <c r="AU3" s="262"/>
      <c r="AV3" s="262"/>
      <c r="AW3" s="262"/>
      <c r="AX3" s="262"/>
      <c r="AY3" s="262"/>
      <c r="AZ3" s="262"/>
      <c r="BA3" s="262" t="s">
        <v>473</v>
      </c>
      <c r="BB3" s="262"/>
      <c r="BC3" s="262"/>
      <c r="BD3" s="262"/>
      <c r="BE3" s="262"/>
      <c r="BF3" s="262"/>
      <c r="BG3" s="262"/>
      <c r="BH3" s="262" t="s">
        <v>474</v>
      </c>
      <c r="BI3" s="262"/>
      <c r="BJ3" s="262"/>
      <c r="BK3" s="262"/>
      <c r="BL3" s="262"/>
      <c r="BM3" s="262"/>
      <c r="BN3" s="262"/>
      <c r="BO3" s="262" t="s">
        <v>475</v>
      </c>
      <c r="BP3" s="262"/>
      <c r="BQ3" s="262"/>
      <c r="BR3" s="262"/>
      <c r="BS3" s="262"/>
      <c r="BT3" s="262"/>
      <c r="BU3" s="262"/>
    </row>
    <row r="4" spans="1:73" x14ac:dyDescent="0.25">
      <c r="M4" s="272" t="s">
        <v>476</v>
      </c>
      <c r="N4" s="272"/>
      <c r="O4" s="272"/>
      <c r="P4" s="272"/>
      <c r="Q4" s="272"/>
      <c r="R4" s="272"/>
      <c r="S4" s="272"/>
      <c r="T4" s="272"/>
      <c r="U4" s="272"/>
      <c r="AT4" s="233">
        <f>VALUE(RIGHT(AT3,4))</f>
        <v>2013</v>
      </c>
      <c r="AU4" s="172">
        <f>AT4</f>
        <v>2013</v>
      </c>
      <c r="AV4" s="172">
        <f t="shared" ref="AV4:AZ4" si="0">AU4</f>
        <v>2013</v>
      </c>
      <c r="AW4" s="172">
        <f t="shared" si="0"/>
        <v>2013</v>
      </c>
      <c r="AX4" s="172">
        <f t="shared" si="0"/>
        <v>2013</v>
      </c>
      <c r="AY4" s="172">
        <f t="shared" si="0"/>
        <v>2013</v>
      </c>
      <c r="AZ4" s="172">
        <f t="shared" si="0"/>
        <v>2013</v>
      </c>
      <c r="BA4" s="233">
        <f>VALUE(RIGHT(BA3,4))</f>
        <v>2017</v>
      </c>
      <c r="BB4" s="172">
        <f>BA4</f>
        <v>2017</v>
      </c>
      <c r="BC4" s="172">
        <f t="shared" ref="BC4:BG4" si="1">BB4</f>
        <v>2017</v>
      </c>
      <c r="BD4" s="172">
        <f t="shared" si="1"/>
        <v>2017</v>
      </c>
      <c r="BE4" s="172">
        <f t="shared" si="1"/>
        <v>2017</v>
      </c>
      <c r="BF4" s="172">
        <f t="shared" si="1"/>
        <v>2017</v>
      </c>
      <c r="BG4" s="172">
        <f t="shared" si="1"/>
        <v>2017</v>
      </c>
      <c r="BH4" s="233">
        <f>VALUE(RIGHT(BH3,4))</f>
        <v>2019</v>
      </c>
      <c r="BI4" s="172">
        <f>BH4</f>
        <v>2019</v>
      </c>
      <c r="BJ4" s="172">
        <f t="shared" ref="BJ4:BN4" si="2">BI4</f>
        <v>2019</v>
      </c>
      <c r="BK4" s="172">
        <f t="shared" si="2"/>
        <v>2019</v>
      </c>
      <c r="BL4" s="172">
        <f t="shared" si="2"/>
        <v>2019</v>
      </c>
      <c r="BM4" s="172">
        <f t="shared" si="2"/>
        <v>2019</v>
      </c>
      <c r="BN4" s="172">
        <f t="shared" si="2"/>
        <v>2019</v>
      </c>
      <c r="BO4" s="233">
        <f>VALUE(RIGHT(BO3,4))</f>
        <v>2021</v>
      </c>
      <c r="BP4" s="172">
        <f>BO4</f>
        <v>2021</v>
      </c>
      <c r="BQ4" s="172">
        <f t="shared" ref="BQ4:BU4" si="3">BP4</f>
        <v>2021</v>
      </c>
      <c r="BR4" s="172">
        <f t="shared" si="3"/>
        <v>2021</v>
      </c>
      <c r="BS4" s="172">
        <f t="shared" si="3"/>
        <v>2021</v>
      </c>
      <c r="BT4" s="172">
        <f t="shared" si="3"/>
        <v>2021</v>
      </c>
      <c r="BU4" s="172">
        <f t="shared" si="3"/>
        <v>2021</v>
      </c>
    </row>
    <row r="5" spans="1:73" ht="30" customHeight="1" thickBot="1" x14ac:dyDescent="0.3">
      <c r="A5" s="179" t="s">
        <v>371</v>
      </c>
      <c r="B5" s="179" t="s">
        <v>372</v>
      </c>
      <c r="C5" s="179" t="s">
        <v>373</v>
      </c>
      <c r="D5" s="179" t="s">
        <v>374</v>
      </c>
      <c r="E5" s="180" t="s">
        <v>375</v>
      </c>
      <c r="F5" s="180" t="s">
        <v>376</v>
      </c>
      <c r="G5" s="179" t="s">
        <v>377</v>
      </c>
      <c r="H5" s="179" t="s">
        <v>378</v>
      </c>
      <c r="I5" s="179" t="s">
        <v>379</v>
      </c>
      <c r="J5" s="179" t="s">
        <v>380</v>
      </c>
      <c r="K5" s="179" t="s">
        <v>381</v>
      </c>
      <c r="L5" s="179" t="s">
        <v>382</v>
      </c>
      <c r="M5" s="181" t="s">
        <v>383</v>
      </c>
      <c r="N5" s="181" t="s">
        <v>384</v>
      </c>
      <c r="O5" s="181" t="s">
        <v>385</v>
      </c>
      <c r="P5" s="181" t="s">
        <v>386</v>
      </c>
      <c r="Q5" s="182" t="s">
        <v>387</v>
      </c>
      <c r="R5" s="179" t="s">
        <v>388</v>
      </c>
      <c r="S5" s="179" t="s">
        <v>389</v>
      </c>
      <c r="T5" s="179" t="s">
        <v>390</v>
      </c>
      <c r="U5" s="179" t="s">
        <v>391</v>
      </c>
      <c r="V5" s="179" t="s">
        <v>392</v>
      </c>
      <c r="W5" s="179" t="s">
        <v>477</v>
      </c>
      <c r="X5" s="179" t="s">
        <v>478</v>
      </c>
      <c r="Y5" s="179" t="s">
        <v>396</v>
      </c>
      <c r="Z5" s="179" t="s">
        <v>156</v>
      </c>
      <c r="AA5" s="183" t="s">
        <v>400</v>
      </c>
      <c r="AB5" s="183" t="s">
        <v>401</v>
      </c>
      <c r="AC5" s="183" t="s">
        <v>402</v>
      </c>
      <c r="AD5" s="183" t="s">
        <v>403</v>
      </c>
      <c r="AE5" s="183" t="s">
        <v>404</v>
      </c>
      <c r="AF5" s="183" t="s">
        <v>405</v>
      </c>
      <c r="AG5" s="183" t="s">
        <v>406</v>
      </c>
      <c r="AH5" s="183" t="s">
        <v>407</v>
      </c>
      <c r="AI5" s="183" t="s">
        <v>408</v>
      </c>
      <c r="AJ5" s="183" t="s">
        <v>409</v>
      </c>
      <c r="AK5" s="183" t="s">
        <v>410</v>
      </c>
      <c r="AL5" s="183" t="s">
        <v>411</v>
      </c>
      <c r="AM5" s="183" t="s">
        <v>412</v>
      </c>
      <c r="AN5" s="183" t="s">
        <v>413</v>
      </c>
      <c r="AO5" s="183" t="s">
        <v>414</v>
      </c>
      <c r="AP5" s="183" t="s">
        <v>415</v>
      </c>
      <c r="AQ5" s="184" t="s">
        <v>416</v>
      </c>
      <c r="AR5" s="184" t="s">
        <v>417</v>
      </c>
      <c r="AS5" s="234" t="s">
        <v>418</v>
      </c>
      <c r="AT5" s="74" t="s">
        <v>31</v>
      </c>
      <c r="AU5" s="74" t="s">
        <v>30</v>
      </c>
      <c r="AV5" s="74" t="s">
        <v>29</v>
      </c>
      <c r="AW5" s="74" t="s">
        <v>336</v>
      </c>
      <c r="AX5" s="74" t="s">
        <v>27</v>
      </c>
      <c r="AY5" s="74" t="s">
        <v>33</v>
      </c>
      <c r="AZ5" s="74" t="s">
        <v>32</v>
      </c>
      <c r="BA5" s="74" t="s">
        <v>31</v>
      </c>
      <c r="BB5" s="74" t="s">
        <v>30</v>
      </c>
      <c r="BC5" s="74" t="s">
        <v>29</v>
      </c>
      <c r="BD5" s="74" t="s">
        <v>336</v>
      </c>
      <c r="BE5" s="74" t="s">
        <v>27</v>
      </c>
      <c r="BF5" s="74" t="s">
        <v>33</v>
      </c>
      <c r="BG5" s="74" t="s">
        <v>32</v>
      </c>
      <c r="BH5" s="74" t="s">
        <v>31</v>
      </c>
      <c r="BI5" s="74" t="s">
        <v>30</v>
      </c>
      <c r="BJ5" s="74" t="s">
        <v>29</v>
      </c>
      <c r="BK5" s="74" t="s">
        <v>336</v>
      </c>
      <c r="BL5" s="74" t="s">
        <v>27</v>
      </c>
      <c r="BM5" s="74" t="s">
        <v>33</v>
      </c>
      <c r="BN5" s="74" t="s">
        <v>32</v>
      </c>
      <c r="BO5" s="74" t="s">
        <v>31</v>
      </c>
      <c r="BP5" s="74" t="s">
        <v>30</v>
      </c>
      <c r="BQ5" s="74" t="s">
        <v>29</v>
      </c>
      <c r="BR5" s="74" t="s">
        <v>336</v>
      </c>
      <c r="BS5" s="74" t="s">
        <v>27</v>
      </c>
      <c r="BT5" s="74" t="s">
        <v>33</v>
      </c>
      <c r="BU5" s="74" t="s">
        <v>32</v>
      </c>
    </row>
    <row r="6" spans="1:73" ht="15.75" thickTop="1" x14ac:dyDescent="0.25">
      <c r="A6" s="172">
        <v>71</v>
      </c>
      <c r="B6" s="187" t="s">
        <v>419</v>
      </c>
      <c r="C6" s="172">
        <v>1</v>
      </c>
      <c r="D6" s="172">
        <v>1</v>
      </c>
      <c r="E6" s="177" t="s">
        <v>542</v>
      </c>
      <c r="F6" s="177" t="s">
        <v>542</v>
      </c>
      <c r="G6" s="172" t="s">
        <v>424</v>
      </c>
      <c r="H6" s="172" t="s">
        <v>421</v>
      </c>
      <c r="I6" t="s">
        <v>442</v>
      </c>
      <c r="J6" t="s">
        <v>543</v>
      </c>
      <c r="K6">
        <v>120</v>
      </c>
      <c r="L6" t="s">
        <v>508</v>
      </c>
      <c r="M6" s="47">
        <v>0</v>
      </c>
      <c r="N6" s="47">
        <v>100</v>
      </c>
      <c r="O6" s="47">
        <v>0</v>
      </c>
      <c r="P6" s="47">
        <v>0</v>
      </c>
      <c r="Q6" s="188">
        <v>0.05</v>
      </c>
      <c r="R6" s="189" t="s">
        <v>422</v>
      </c>
      <c r="S6" s="172">
        <v>7</v>
      </c>
      <c r="T6" s="172">
        <v>52</v>
      </c>
      <c r="U6" s="172">
        <v>24</v>
      </c>
      <c r="V6" s="172">
        <v>8760</v>
      </c>
      <c r="W6" s="219">
        <v>0</v>
      </c>
      <c r="X6" s="219">
        <v>0</v>
      </c>
      <c r="Y6" s="172">
        <v>108.9</v>
      </c>
      <c r="AA6" t="s">
        <v>544</v>
      </c>
      <c r="AB6" t="s">
        <v>500</v>
      </c>
      <c r="AE6" s="190">
        <v>64.736099999999993</v>
      </c>
      <c r="AF6" s="190">
        <v>-147.3509</v>
      </c>
      <c r="AH6" s="172">
        <v>150</v>
      </c>
      <c r="AI6" s="172">
        <v>400</v>
      </c>
      <c r="AJ6" s="172">
        <v>0</v>
      </c>
      <c r="AK6" s="172">
        <v>199</v>
      </c>
      <c r="AL6" s="172">
        <v>7</v>
      </c>
      <c r="AM6" s="172">
        <v>0</v>
      </c>
      <c r="AN6" s="172">
        <v>438</v>
      </c>
      <c r="AO6" s="172">
        <v>32188</v>
      </c>
      <c r="AP6" s="172">
        <v>13.9</v>
      </c>
      <c r="AQ6" s="172">
        <v>0.13</v>
      </c>
      <c r="AR6" s="172">
        <v>0.61</v>
      </c>
      <c r="AS6" s="191">
        <v>30600106</v>
      </c>
      <c r="AT6" s="17">
        <v>5.8057179549902147E-4</v>
      </c>
      <c r="AU6" s="17">
        <v>5.8057179549902147E-4</v>
      </c>
      <c r="AV6" s="17">
        <v>7.6681314957518262E-4</v>
      </c>
      <c r="AW6" s="17">
        <v>1.2743369872873167E-2</v>
      </c>
      <c r="AX6" s="17">
        <v>7.6557252341962105E-3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  <c r="BS6" s="17">
        <v>0</v>
      </c>
      <c r="BT6" s="17">
        <v>0</v>
      </c>
      <c r="BU6" s="17">
        <v>0</v>
      </c>
    </row>
    <row r="7" spans="1:73" x14ac:dyDescent="0.25">
      <c r="A7" s="172">
        <v>71</v>
      </c>
      <c r="B7" s="187" t="s">
        <v>419</v>
      </c>
      <c r="C7" s="172">
        <v>2</v>
      </c>
      <c r="D7" s="172">
        <v>2</v>
      </c>
      <c r="E7" s="177" t="s">
        <v>545</v>
      </c>
      <c r="F7" s="177" t="s">
        <v>545</v>
      </c>
      <c r="G7" s="172" t="s">
        <v>424</v>
      </c>
      <c r="H7" s="172" t="s">
        <v>421</v>
      </c>
      <c r="I7" t="s">
        <v>442</v>
      </c>
      <c r="J7" t="s">
        <v>546</v>
      </c>
      <c r="K7">
        <v>62.5</v>
      </c>
      <c r="L7" t="s">
        <v>508</v>
      </c>
      <c r="M7" s="47">
        <v>0</v>
      </c>
      <c r="N7" s="47">
        <v>100</v>
      </c>
      <c r="O7" s="47">
        <v>0</v>
      </c>
      <c r="P7" s="47">
        <v>0</v>
      </c>
      <c r="Q7" s="188">
        <v>0.04</v>
      </c>
      <c r="R7" s="189" t="s">
        <v>422</v>
      </c>
      <c r="S7" s="172">
        <v>7</v>
      </c>
      <c r="T7" s="172">
        <v>52</v>
      </c>
      <c r="U7" s="172">
        <v>24</v>
      </c>
      <c r="V7" s="172">
        <v>8760</v>
      </c>
      <c r="W7" s="219">
        <v>10</v>
      </c>
      <c r="X7" s="219">
        <v>10</v>
      </c>
      <c r="Y7" s="172">
        <v>108.9</v>
      </c>
      <c r="AA7" t="s">
        <v>547</v>
      </c>
      <c r="AB7" t="s">
        <v>500</v>
      </c>
      <c r="AE7" s="190">
        <v>64.735799999999998</v>
      </c>
      <c r="AF7" s="190">
        <v>-147.3511</v>
      </c>
      <c r="AH7" s="172">
        <v>150</v>
      </c>
      <c r="AI7" s="172">
        <v>400</v>
      </c>
      <c r="AJ7" s="172">
        <v>0</v>
      </c>
      <c r="AK7" s="172">
        <v>120</v>
      </c>
      <c r="AL7" s="172">
        <v>5.4</v>
      </c>
      <c r="AM7" s="172">
        <v>0</v>
      </c>
      <c r="AN7" s="172">
        <v>679</v>
      </c>
      <c r="AO7" s="172">
        <v>16194</v>
      </c>
      <c r="AP7" s="172">
        <v>11.8</v>
      </c>
      <c r="AQ7" s="172">
        <v>0.05</v>
      </c>
      <c r="AR7" s="172">
        <v>0.09</v>
      </c>
      <c r="AS7" s="172">
        <v>30600106</v>
      </c>
      <c r="AT7" s="17">
        <v>4.2218279109589046E-4</v>
      </c>
      <c r="AU7" s="17">
        <v>4.2218279109589046E-4</v>
      </c>
      <c r="AV7" s="17">
        <v>1.6329691266548105E-3</v>
      </c>
      <c r="AW7" s="17">
        <v>2.0078424897701969E-2</v>
      </c>
      <c r="AX7" s="17">
        <v>1.5506669460407884E-2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  <c r="BS7" s="17">
        <v>0</v>
      </c>
      <c r="BT7" s="17">
        <v>0</v>
      </c>
      <c r="BU7" s="17">
        <v>0</v>
      </c>
    </row>
    <row r="8" spans="1:73" x14ac:dyDescent="0.25">
      <c r="A8" s="172">
        <v>71</v>
      </c>
      <c r="B8" s="187" t="s">
        <v>419</v>
      </c>
      <c r="C8" s="172">
        <v>3</v>
      </c>
      <c r="D8" s="172">
        <v>6</v>
      </c>
      <c r="E8" s="177" t="s">
        <v>548</v>
      </c>
      <c r="F8" s="177" t="s">
        <v>549</v>
      </c>
      <c r="G8" s="172" t="s">
        <v>424</v>
      </c>
      <c r="H8" s="172" t="s">
        <v>421</v>
      </c>
      <c r="I8" t="s">
        <v>433</v>
      </c>
      <c r="J8" t="s">
        <v>550</v>
      </c>
      <c r="K8">
        <v>25</v>
      </c>
      <c r="L8" t="s">
        <v>508</v>
      </c>
      <c r="M8" s="47">
        <v>49.060082083024959</v>
      </c>
      <c r="N8" s="47">
        <v>12.38242615891812</v>
      </c>
      <c r="O8" s="47">
        <v>36.076162282177222</v>
      </c>
      <c r="P8" s="47">
        <v>16.139406580098232</v>
      </c>
      <c r="Q8" s="188">
        <v>7.4314999999999998</v>
      </c>
      <c r="R8" s="189" t="s">
        <v>422</v>
      </c>
      <c r="S8" s="172">
        <v>7</v>
      </c>
      <c r="T8" s="172">
        <v>52</v>
      </c>
      <c r="U8" s="172">
        <v>24</v>
      </c>
      <c r="V8" s="172">
        <v>8760</v>
      </c>
      <c r="W8" s="219">
        <v>10</v>
      </c>
      <c r="X8" s="219">
        <v>10</v>
      </c>
      <c r="Y8" s="172">
        <v>109.1</v>
      </c>
      <c r="AA8" t="s">
        <v>551</v>
      </c>
      <c r="AB8" t="s">
        <v>500</v>
      </c>
      <c r="AE8" s="190">
        <v>64.736099999999993</v>
      </c>
      <c r="AF8" s="190">
        <v>-147.3509</v>
      </c>
      <c r="AH8" s="172">
        <v>150</v>
      </c>
      <c r="AI8" s="172">
        <v>400</v>
      </c>
      <c r="AJ8" s="172">
        <v>0</v>
      </c>
      <c r="AK8" s="172">
        <v>199</v>
      </c>
      <c r="AL8" s="172">
        <v>7</v>
      </c>
      <c r="AM8" s="172">
        <v>0</v>
      </c>
      <c r="AN8" s="172">
        <v>438</v>
      </c>
      <c r="AO8" s="172">
        <v>32188</v>
      </c>
      <c r="AP8" s="172">
        <v>13.9</v>
      </c>
      <c r="AQ8" s="172">
        <v>0</v>
      </c>
      <c r="AR8" s="172">
        <v>0</v>
      </c>
      <c r="AS8" s="172">
        <v>30600106</v>
      </c>
      <c r="AT8" s="17">
        <v>5.8057179549902147E-4</v>
      </c>
      <c r="AU8" s="17">
        <v>5.8057179549902147E-4</v>
      </c>
      <c r="AV8" s="17">
        <v>7.6681314957518262E-4</v>
      </c>
      <c r="AW8" s="17">
        <v>1.2743369872873167E-2</v>
      </c>
      <c r="AX8" s="17">
        <v>7.6557252341962105E-3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</row>
    <row r="9" spans="1:73" x14ac:dyDescent="0.25">
      <c r="A9" s="172">
        <v>71</v>
      </c>
      <c r="B9" s="187" t="s">
        <v>419</v>
      </c>
      <c r="C9" s="172">
        <v>4</v>
      </c>
      <c r="D9" s="172">
        <v>7</v>
      </c>
      <c r="E9" s="177" t="s">
        <v>552</v>
      </c>
      <c r="F9" s="177" t="s">
        <v>553</v>
      </c>
      <c r="G9" s="172" t="s">
        <v>424</v>
      </c>
      <c r="H9" s="172" t="s">
        <v>421</v>
      </c>
      <c r="I9" t="s">
        <v>433</v>
      </c>
      <c r="J9" t="s">
        <v>554</v>
      </c>
      <c r="K9">
        <v>25</v>
      </c>
      <c r="L9" t="s">
        <v>508</v>
      </c>
      <c r="M9" s="47">
        <v>17.490770113573621</v>
      </c>
      <c r="N9" s="47">
        <v>14.79488539783247</v>
      </c>
      <c r="O9" s="47">
        <v>26.244275305046393</v>
      </c>
      <c r="P9" s="47">
        <v>30.285937009408531</v>
      </c>
      <c r="Q9" s="188">
        <v>9.2363</v>
      </c>
      <c r="R9" s="189" t="s">
        <v>422</v>
      </c>
      <c r="S9" s="172">
        <v>7</v>
      </c>
      <c r="T9" s="172">
        <v>52</v>
      </c>
      <c r="U9" s="172">
        <v>24</v>
      </c>
      <c r="V9" s="172">
        <v>8760</v>
      </c>
      <c r="W9" s="219">
        <v>0</v>
      </c>
      <c r="X9" s="219">
        <v>0</v>
      </c>
      <c r="Y9" s="172">
        <v>108.8</v>
      </c>
      <c r="AA9" t="s">
        <v>555</v>
      </c>
      <c r="AB9" t="s">
        <v>500</v>
      </c>
      <c r="AE9" s="190">
        <v>64.736099999999993</v>
      </c>
      <c r="AF9" s="190">
        <v>-147.3509</v>
      </c>
      <c r="AH9" s="172">
        <v>150</v>
      </c>
      <c r="AI9" s="172">
        <v>400</v>
      </c>
      <c r="AJ9" s="172">
        <v>0</v>
      </c>
      <c r="AK9" s="172">
        <v>199</v>
      </c>
      <c r="AL9" s="172">
        <v>7</v>
      </c>
      <c r="AM9" s="172">
        <v>0</v>
      </c>
      <c r="AN9" s="172">
        <v>438</v>
      </c>
      <c r="AO9" s="172">
        <v>32188</v>
      </c>
      <c r="AP9" s="172">
        <v>13.9</v>
      </c>
      <c r="AQ9" s="172">
        <v>0</v>
      </c>
      <c r="AR9" s="172">
        <v>0</v>
      </c>
      <c r="AS9" s="172">
        <v>30600106</v>
      </c>
      <c r="AT9" s="17">
        <v>5.8057179549902147E-4</v>
      </c>
      <c r="AU9" s="17">
        <v>5.8057179549902147E-4</v>
      </c>
      <c r="AV9" s="17">
        <v>7.6681314957518262E-4</v>
      </c>
      <c r="AW9" s="17">
        <v>1.2743369872873167E-2</v>
      </c>
      <c r="AX9" s="17">
        <v>7.6557252341962105E-3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</row>
    <row r="10" spans="1:73" x14ac:dyDescent="0.25">
      <c r="A10" s="172">
        <v>71</v>
      </c>
      <c r="B10" s="187" t="s">
        <v>419</v>
      </c>
      <c r="C10" s="172">
        <v>5</v>
      </c>
      <c r="D10" s="172">
        <v>4</v>
      </c>
      <c r="E10" s="177" t="s">
        <v>556</v>
      </c>
      <c r="F10" s="177" t="s">
        <v>552</v>
      </c>
      <c r="G10" s="172" t="s">
        <v>424</v>
      </c>
      <c r="H10" s="172" t="s">
        <v>421</v>
      </c>
      <c r="I10" t="s">
        <v>442</v>
      </c>
      <c r="J10" t="s">
        <v>554</v>
      </c>
      <c r="K10">
        <v>14.5</v>
      </c>
      <c r="L10" t="s">
        <v>508</v>
      </c>
      <c r="M10" s="47">
        <v>42.786712055405559</v>
      </c>
      <c r="N10" s="47">
        <v>1.2912313651837071</v>
      </c>
      <c r="O10" s="47">
        <v>36.917478577297807</v>
      </c>
      <c r="P10" s="47">
        <v>20.178424697734474</v>
      </c>
      <c r="Q10" s="188">
        <v>1.7038000000000002</v>
      </c>
      <c r="R10" s="189" t="s">
        <v>422</v>
      </c>
      <c r="S10" s="172">
        <v>7</v>
      </c>
      <c r="T10" s="172">
        <v>40</v>
      </c>
      <c r="U10" s="172">
        <v>24</v>
      </c>
      <c r="V10" s="172">
        <v>6720</v>
      </c>
      <c r="W10" s="219">
        <v>10</v>
      </c>
      <c r="X10" s="219">
        <v>10</v>
      </c>
      <c r="Y10" s="172">
        <v>109</v>
      </c>
      <c r="AA10" t="s">
        <v>557</v>
      </c>
      <c r="AB10" t="s">
        <v>500</v>
      </c>
      <c r="AE10" s="190">
        <v>64.736099999999993</v>
      </c>
      <c r="AF10" s="190">
        <v>-147.3509</v>
      </c>
      <c r="AH10" s="172">
        <v>150</v>
      </c>
      <c r="AI10" s="172">
        <v>400</v>
      </c>
      <c r="AJ10" s="172">
        <v>0</v>
      </c>
      <c r="AK10" s="172">
        <v>199</v>
      </c>
      <c r="AL10" s="172">
        <v>7</v>
      </c>
      <c r="AM10" s="172">
        <v>0</v>
      </c>
      <c r="AN10" s="172">
        <v>438</v>
      </c>
      <c r="AO10" s="172">
        <v>32188</v>
      </c>
      <c r="AP10" s="172">
        <v>13.9</v>
      </c>
      <c r="AQ10" s="172">
        <v>0</v>
      </c>
      <c r="AR10" s="172">
        <v>0</v>
      </c>
      <c r="AS10" s="172">
        <v>30600106</v>
      </c>
      <c r="AT10" s="17">
        <v>5.8057179549902147E-4</v>
      </c>
      <c r="AU10" s="17">
        <v>5.8057179549902147E-4</v>
      </c>
      <c r="AV10" s="17">
        <v>7.6681314957518262E-4</v>
      </c>
      <c r="AW10" s="17">
        <v>1.2743369872873167E-2</v>
      </c>
      <c r="AX10" s="17">
        <v>7.6557252341962105E-3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  <c r="BS10" s="17">
        <v>0</v>
      </c>
      <c r="BT10" s="17">
        <v>0</v>
      </c>
      <c r="BU10" s="17">
        <v>0</v>
      </c>
    </row>
    <row r="11" spans="1:73" x14ac:dyDescent="0.25">
      <c r="A11" s="172">
        <v>71</v>
      </c>
      <c r="B11" s="187" t="s">
        <v>419</v>
      </c>
      <c r="C11" s="172">
        <v>6</v>
      </c>
      <c r="D11" s="172">
        <v>5</v>
      </c>
      <c r="E11" s="177" t="s">
        <v>549</v>
      </c>
      <c r="F11" s="177" t="s">
        <v>556</v>
      </c>
      <c r="G11" s="172" t="s">
        <v>424</v>
      </c>
      <c r="H11" s="172" t="s">
        <v>421</v>
      </c>
      <c r="I11" t="s">
        <v>442</v>
      </c>
      <c r="J11" t="s">
        <v>554</v>
      </c>
      <c r="K11">
        <v>14.5</v>
      </c>
      <c r="L11" t="s">
        <v>508</v>
      </c>
      <c r="M11" s="47">
        <v>48.317196864914706</v>
      </c>
      <c r="N11" s="47">
        <v>0.2049075354746171</v>
      </c>
      <c r="O11" s="47">
        <v>39.598381230469755</v>
      </c>
      <c r="P11" s="47">
        <v>12.340556323958813</v>
      </c>
      <c r="Q11" s="188">
        <v>1.9521000000000002</v>
      </c>
      <c r="R11" s="189" t="s">
        <v>422</v>
      </c>
      <c r="S11" s="172">
        <v>7</v>
      </c>
      <c r="T11" s="172">
        <v>26</v>
      </c>
      <c r="U11" s="172">
        <v>24</v>
      </c>
      <c r="V11" s="172">
        <v>4368</v>
      </c>
      <c r="W11" s="219">
        <v>10</v>
      </c>
      <c r="X11" s="219">
        <v>10</v>
      </c>
      <c r="Y11" s="172">
        <v>108.3</v>
      </c>
      <c r="AA11" t="s">
        <v>558</v>
      </c>
      <c r="AB11" t="s">
        <v>500</v>
      </c>
      <c r="AE11" s="190">
        <v>64.736099999999993</v>
      </c>
      <c r="AF11" s="190">
        <v>-147.3509</v>
      </c>
      <c r="AH11" s="172">
        <v>150</v>
      </c>
      <c r="AI11" s="172">
        <v>400</v>
      </c>
      <c r="AJ11" s="172">
        <v>0</v>
      </c>
      <c r="AK11" s="172">
        <v>199</v>
      </c>
      <c r="AL11" s="172">
        <v>7</v>
      </c>
      <c r="AM11" s="172">
        <v>0</v>
      </c>
      <c r="AN11" s="172">
        <v>438</v>
      </c>
      <c r="AO11" s="172">
        <v>32188</v>
      </c>
      <c r="AP11" s="172">
        <v>13.9</v>
      </c>
      <c r="AQ11" s="172">
        <v>0</v>
      </c>
      <c r="AR11" s="172">
        <v>0</v>
      </c>
      <c r="AS11" s="172">
        <v>30600106</v>
      </c>
      <c r="AT11" s="17">
        <v>5.8057179549902147E-4</v>
      </c>
      <c r="AU11" s="17">
        <v>5.8057179549902147E-4</v>
      </c>
      <c r="AV11" s="17">
        <v>7.6681314957518262E-4</v>
      </c>
      <c r="AW11" s="17">
        <v>1.2743369872873167E-2</v>
      </c>
      <c r="AX11" s="17">
        <v>7.6557252341962105E-3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</row>
    <row r="12" spans="1:73" x14ac:dyDescent="0.25">
      <c r="A12" s="172">
        <v>71</v>
      </c>
      <c r="B12" s="187" t="s">
        <v>419</v>
      </c>
      <c r="C12" s="172">
        <v>7</v>
      </c>
      <c r="D12" s="172">
        <v>12</v>
      </c>
      <c r="E12" s="177" t="s">
        <v>553</v>
      </c>
      <c r="F12" s="177" t="s">
        <v>559</v>
      </c>
      <c r="G12" s="172" t="s">
        <v>424</v>
      </c>
      <c r="H12" s="172" t="s">
        <v>421</v>
      </c>
      <c r="I12" t="s">
        <v>442</v>
      </c>
      <c r="J12" t="s">
        <v>554</v>
      </c>
      <c r="K12">
        <v>10</v>
      </c>
      <c r="L12" t="s">
        <v>508</v>
      </c>
      <c r="M12" s="47">
        <v>0</v>
      </c>
      <c r="N12" s="47">
        <v>0</v>
      </c>
      <c r="O12" s="47">
        <v>0</v>
      </c>
      <c r="P12" s="47">
        <v>0</v>
      </c>
      <c r="Q12" s="188">
        <v>0</v>
      </c>
      <c r="R12" s="189" t="s">
        <v>422</v>
      </c>
      <c r="S12" s="172">
        <v>0</v>
      </c>
      <c r="T12" s="172">
        <v>0</v>
      </c>
      <c r="U12" s="172">
        <v>0</v>
      </c>
      <c r="V12" s="172">
        <v>0</v>
      </c>
      <c r="W12" s="219">
        <v>0</v>
      </c>
      <c r="X12" s="219">
        <v>0</v>
      </c>
      <c r="Y12" s="172">
        <v>0</v>
      </c>
      <c r="AA12" t="s">
        <v>560</v>
      </c>
      <c r="AB12" t="s">
        <v>500</v>
      </c>
      <c r="AE12" s="190">
        <v>64.736599999999996</v>
      </c>
      <c r="AF12" s="190">
        <v>-147.34469999999999</v>
      </c>
      <c r="AH12" s="172">
        <v>150</v>
      </c>
      <c r="AI12" s="172">
        <v>400</v>
      </c>
      <c r="AJ12" s="172">
        <v>0</v>
      </c>
      <c r="AK12" s="172">
        <v>199</v>
      </c>
      <c r="AL12" s="172">
        <v>8.6</v>
      </c>
      <c r="AM12" s="172">
        <v>0</v>
      </c>
      <c r="AN12" s="172">
        <v>591</v>
      </c>
      <c r="AO12" s="172">
        <v>48881</v>
      </c>
      <c r="AP12" s="172">
        <v>14</v>
      </c>
      <c r="AQ12" s="172">
        <v>0</v>
      </c>
      <c r="AR12" s="172">
        <v>0</v>
      </c>
      <c r="AS12" s="172">
        <v>30600199</v>
      </c>
      <c r="AT12" s="17">
        <v>1.2914810196510112E-3</v>
      </c>
      <c r="AU12" s="17">
        <v>1.2914810196510112E-3</v>
      </c>
      <c r="AV12" s="17">
        <v>1.6725888658367905E-3</v>
      </c>
      <c r="AW12" s="17">
        <v>5.8461650265372728E-3</v>
      </c>
      <c r="AX12" s="17">
        <v>1.6857909223753593E-2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  <c r="BS12" s="17">
        <v>0</v>
      </c>
      <c r="BT12" s="17">
        <v>0</v>
      </c>
      <c r="BU12" s="17">
        <v>0</v>
      </c>
    </row>
    <row r="13" spans="1:73" x14ac:dyDescent="0.25">
      <c r="A13" s="172">
        <v>71</v>
      </c>
      <c r="B13" s="187" t="s">
        <v>419</v>
      </c>
      <c r="C13" s="172">
        <v>8</v>
      </c>
      <c r="D13" s="172">
        <v>8</v>
      </c>
      <c r="E13" s="177" t="s">
        <v>561</v>
      </c>
      <c r="F13" s="177" t="s">
        <v>561</v>
      </c>
      <c r="G13" s="172" t="s">
        <v>424</v>
      </c>
      <c r="H13" s="172" t="s">
        <v>421</v>
      </c>
      <c r="I13" t="s">
        <v>442</v>
      </c>
      <c r="J13" t="s">
        <v>562</v>
      </c>
      <c r="K13">
        <v>260</v>
      </c>
      <c r="L13" t="s">
        <v>508</v>
      </c>
      <c r="M13" s="47">
        <v>29.338757587498389</v>
      </c>
      <c r="N13" s="47">
        <v>19.828231951440014</v>
      </c>
      <c r="O13" s="47">
        <v>29.643549012010851</v>
      </c>
      <c r="P13" s="47">
        <v>20.520470102027637</v>
      </c>
      <c r="Q13" s="188">
        <v>77.429999999999993</v>
      </c>
      <c r="R13" s="189" t="s">
        <v>422</v>
      </c>
      <c r="S13" s="172">
        <v>7</v>
      </c>
      <c r="T13" s="172">
        <v>52</v>
      </c>
      <c r="U13" s="172">
        <v>24</v>
      </c>
      <c r="V13" s="172">
        <v>8760</v>
      </c>
      <c r="W13" s="219">
        <v>10</v>
      </c>
      <c r="X13" s="219">
        <v>10</v>
      </c>
      <c r="Y13" s="172">
        <v>108.8</v>
      </c>
      <c r="AA13" t="s">
        <v>563</v>
      </c>
      <c r="AB13" t="s">
        <v>500</v>
      </c>
      <c r="AE13" s="190">
        <v>64.735900000000001</v>
      </c>
      <c r="AF13" s="190">
        <v>-147.34899999999999</v>
      </c>
      <c r="AH13" s="172">
        <v>150</v>
      </c>
      <c r="AI13" s="172">
        <v>400</v>
      </c>
      <c r="AJ13" s="172">
        <v>0</v>
      </c>
      <c r="AK13" s="172">
        <v>199</v>
      </c>
      <c r="AL13" s="172">
        <v>10</v>
      </c>
      <c r="AM13" s="172">
        <v>0</v>
      </c>
      <c r="AN13" s="172">
        <v>418</v>
      </c>
      <c r="AO13" s="172">
        <v>60914</v>
      </c>
      <c r="AP13" s="172">
        <v>12.9</v>
      </c>
      <c r="AQ13" s="172">
        <v>0.71</v>
      </c>
      <c r="AR13" s="172">
        <v>1.06</v>
      </c>
      <c r="AS13" s="172">
        <v>30600199</v>
      </c>
      <c r="AT13" s="17">
        <v>2.4129240215264186E-3</v>
      </c>
      <c r="AU13" s="17">
        <v>2.4129240215264186E-3</v>
      </c>
      <c r="AV13" s="17">
        <v>1.401532988169334E-2</v>
      </c>
      <c r="AW13" s="17">
        <v>4.6323625173297488E-2</v>
      </c>
      <c r="AX13" s="17">
        <v>1.4079476987234913E-4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</row>
    <row r="14" spans="1:73" x14ac:dyDescent="0.25">
      <c r="A14" s="172">
        <v>71</v>
      </c>
      <c r="B14" s="187" t="s">
        <v>419</v>
      </c>
      <c r="C14" s="172">
        <v>9</v>
      </c>
      <c r="D14" s="172">
        <v>9</v>
      </c>
      <c r="E14" s="177" t="s">
        <v>564</v>
      </c>
      <c r="F14" s="177" t="s">
        <v>564</v>
      </c>
      <c r="G14" s="172" t="s">
        <v>424</v>
      </c>
      <c r="H14" s="172" t="s">
        <v>421</v>
      </c>
      <c r="I14" t="s">
        <v>442</v>
      </c>
      <c r="J14" t="s">
        <v>565</v>
      </c>
      <c r="K14">
        <v>25</v>
      </c>
      <c r="L14" t="s">
        <v>508</v>
      </c>
      <c r="M14" s="47">
        <v>0</v>
      </c>
      <c r="N14" s="47">
        <v>100</v>
      </c>
      <c r="O14" s="47">
        <v>0</v>
      </c>
      <c r="P14" s="47">
        <v>0</v>
      </c>
      <c r="Q14" s="188">
        <v>1.1686999999999999</v>
      </c>
      <c r="R14" s="189" t="s">
        <v>422</v>
      </c>
      <c r="S14" s="172">
        <v>7</v>
      </c>
      <c r="T14" s="172">
        <v>30</v>
      </c>
      <c r="U14" s="172">
        <v>24</v>
      </c>
      <c r="V14" s="172">
        <v>5040</v>
      </c>
      <c r="W14" s="219">
        <v>0</v>
      </c>
      <c r="X14" s="219">
        <v>0</v>
      </c>
      <c r="Y14" s="172">
        <v>108.3</v>
      </c>
      <c r="AA14" t="s">
        <v>566</v>
      </c>
      <c r="AB14" t="s">
        <v>500</v>
      </c>
      <c r="AE14" s="190">
        <v>64.735900000000001</v>
      </c>
      <c r="AF14" s="190">
        <v>-147.34899999999999</v>
      </c>
      <c r="AH14" s="172">
        <v>150</v>
      </c>
      <c r="AI14" s="172">
        <v>400</v>
      </c>
      <c r="AJ14" s="172">
        <v>0</v>
      </c>
      <c r="AK14" s="172">
        <v>199</v>
      </c>
      <c r="AL14" s="172">
        <v>10</v>
      </c>
      <c r="AM14" s="172">
        <v>0</v>
      </c>
      <c r="AN14" s="172">
        <v>418</v>
      </c>
      <c r="AO14" s="172">
        <v>60914</v>
      </c>
      <c r="AP14" s="172">
        <v>12.9</v>
      </c>
      <c r="AQ14" s="172">
        <v>0</v>
      </c>
      <c r="AR14" s="172">
        <v>0</v>
      </c>
      <c r="AS14" s="172">
        <v>30600199</v>
      </c>
      <c r="AT14" s="17">
        <v>2.4129240215264186E-3</v>
      </c>
      <c r="AU14" s="17">
        <v>2.4129240215264186E-3</v>
      </c>
      <c r="AV14" s="17">
        <v>1.401532988169334E-2</v>
      </c>
      <c r="AW14" s="17">
        <v>4.6323625173297488E-2</v>
      </c>
      <c r="AX14" s="17">
        <v>1.4079476987234913E-4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0</v>
      </c>
      <c r="BP14" s="17">
        <v>0</v>
      </c>
      <c r="BQ14" s="17">
        <v>0</v>
      </c>
      <c r="BR14" s="17">
        <v>0</v>
      </c>
      <c r="BS14" s="17">
        <v>0</v>
      </c>
      <c r="BT14" s="17">
        <v>0</v>
      </c>
      <c r="BU14" s="17">
        <v>0</v>
      </c>
    </row>
    <row r="15" spans="1:73" x14ac:dyDescent="0.25">
      <c r="A15" s="172">
        <v>71</v>
      </c>
      <c r="B15" s="187" t="s">
        <v>419</v>
      </c>
      <c r="C15" s="172">
        <v>10</v>
      </c>
      <c r="D15" s="172">
        <v>10</v>
      </c>
      <c r="E15" s="177" t="s">
        <v>567</v>
      </c>
      <c r="F15" s="177" t="s">
        <v>567</v>
      </c>
      <c r="G15" s="172" t="s">
        <v>424</v>
      </c>
      <c r="H15" s="172" t="s">
        <v>421</v>
      </c>
      <c r="I15" t="s">
        <v>442</v>
      </c>
      <c r="J15" t="s">
        <v>568</v>
      </c>
      <c r="K15">
        <v>220</v>
      </c>
      <c r="L15" t="s">
        <v>508</v>
      </c>
      <c r="M15" s="47">
        <v>0</v>
      </c>
      <c r="N15" s="47">
        <v>0</v>
      </c>
      <c r="O15" s="47">
        <v>0</v>
      </c>
      <c r="P15" s="47">
        <v>0</v>
      </c>
      <c r="Q15" s="188">
        <v>0</v>
      </c>
      <c r="R15" s="189" t="s">
        <v>422</v>
      </c>
      <c r="S15" s="172">
        <v>7</v>
      </c>
      <c r="T15" s="172">
        <v>52</v>
      </c>
      <c r="U15" s="172">
        <v>24</v>
      </c>
      <c r="V15" s="172">
        <v>0</v>
      </c>
      <c r="W15" s="219">
        <v>0</v>
      </c>
      <c r="X15" s="219">
        <v>0</v>
      </c>
      <c r="Y15" s="172">
        <v>0</v>
      </c>
      <c r="AA15" t="s">
        <v>569</v>
      </c>
      <c r="AB15" t="s">
        <v>500</v>
      </c>
      <c r="AE15" s="190">
        <v>64.736599999999996</v>
      </c>
      <c r="AF15" s="190">
        <v>-147.34469999999999</v>
      </c>
      <c r="AH15" s="172">
        <v>150</v>
      </c>
      <c r="AI15" s="172">
        <v>400</v>
      </c>
      <c r="AJ15" s="172">
        <v>0</v>
      </c>
      <c r="AK15" s="172">
        <v>199</v>
      </c>
      <c r="AL15" s="172">
        <v>8.6</v>
      </c>
      <c r="AM15" s="172">
        <v>0</v>
      </c>
      <c r="AN15" s="172">
        <v>591</v>
      </c>
      <c r="AO15" s="172">
        <v>48881</v>
      </c>
      <c r="AP15" s="172">
        <v>14</v>
      </c>
      <c r="AQ15" s="172">
        <v>0.08</v>
      </c>
      <c r="AR15" s="172">
        <v>0.84</v>
      </c>
      <c r="AS15" s="172">
        <v>30600199</v>
      </c>
      <c r="AT15" s="17">
        <v>1.2914810196510112E-3</v>
      </c>
      <c r="AU15" s="17">
        <v>1.2914810196510112E-3</v>
      </c>
      <c r="AV15" s="17">
        <v>1.6725888658367905E-3</v>
      </c>
      <c r="AW15" s="17">
        <v>5.8461650265372728E-3</v>
      </c>
      <c r="AX15" s="17">
        <v>1.6857909223753593E-2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  <c r="BU15" s="17">
        <v>0</v>
      </c>
    </row>
    <row r="16" spans="1:73" x14ac:dyDescent="0.25">
      <c r="A16" s="172">
        <v>71</v>
      </c>
      <c r="B16" s="187" t="s">
        <v>419</v>
      </c>
      <c r="C16" s="172">
        <v>11</v>
      </c>
      <c r="D16" s="172">
        <v>11</v>
      </c>
      <c r="E16" s="177" t="s">
        <v>570</v>
      </c>
      <c r="F16" s="177" t="s">
        <v>570</v>
      </c>
      <c r="G16" s="172" t="s">
        <v>424</v>
      </c>
      <c r="H16" s="172" t="s">
        <v>421</v>
      </c>
      <c r="I16" t="s">
        <v>571</v>
      </c>
      <c r="J16" t="s">
        <v>568</v>
      </c>
      <c r="K16" t="s">
        <v>572</v>
      </c>
      <c r="L16" t="s">
        <v>572</v>
      </c>
      <c r="M16" s="47">
        <v>0</v>
      </c>
      <c r="N16" s="47">
        <v>0</v>
      </c>
      <c r="O16" s="47">
        <v>0</v>
      </c>
      <c r="P16" s="47">
        <v>0</v>
      </c>
      <c r="Q16" s="188">
        <v>0</v>
      </c>
      <c r="R16" s="189" t="s">
        <v>422</v>
      </c>
      <c r="S16" s="172">
        <v>7</v>
      </c>
      <c r="T16" s="172">
        <v>52</v>
      </c>
      <c r="U16" s="172">
        <v>24</v>
      </c>
      <c r="V16" s="172">
        <v>0</v>
      </c>
      <c r="W16" s="219">
        <v>11.999999999999998</v>
      </c>
      <c r="X16" s="219">
        <v>11.999999999999998</v>
      </c>
      <c r="Y16" s="172">
        <v>108.6</v>
      </c>
      <c r="AA16" t="s">
        <v>573</v>
      </c>
      <c r="AB16" t="s">
        <v>500</v>
      </c>
      <c r="AE16" s="190">
        <v>64.736599999999996</v>
      </c>
      <c r="AF16" s="190">
        <v>-147.34469999999999</v>
      </c>
      <c r="AH16" s="172">
        <v>150</v>
      </c>
      <c r="AI16" s="172">
        <v>400</v>
      </c>
      <c r="AJ16" s="172">
        <v>0</v>
      </c>
      <c r="AK16" s="172">
        <v>199</v>
      </c>
      <c r="AL16" s="172">
        <v>8.6</v>
      </c>
      <c r="AM16" s="172">
        <v>0</v>
      </c>
      <c r="AN16" s="172">
        <v>591</v>
      </c>
      <c r="AO16" s="172">
        <v>48881</v>
      </c>
      <c r="AP16" s="172">
        <v>14</v>
      </c>
      <c r="AQ16" s="172">
        <v>0</v>
      </c>
      <c r="AR16" s="172">
        <v>0</v>
      </c>
      <c r="AS16" s="172">
        <v>30600199</v>
      </c>
      <c r="AT16" s="17">
        <v>1.2914810196510112E-3</v>
      </c>
      <c r="AU16" s="17">
        <v>1.2914810196510112E-3</v>
      </c>
      <c r="AV16" s="17">
        <v>1.6725888658367905E-3</v>
      </c>
      <c r="AW16" s="17">
        <v>5.8461650265372728E-3</v>
      </c>
      <c r="AX16" s="17">
        <v>1.6857909223753593E-2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</row>
    <row r="17" spans="1:73" x14ac:dyDescent="0.25">
      <c r="A17" s="173">
        <v>71</v>
      </c>
      <c r="B17" s="192" t="s">
        <v>419</v>
      </c>
      <c r="C17" s="173">
        <v>15</v>
      </c>
      <c r="D17" s="173">
        <v>13</v>
      </c>
      <c r="E17" s="193" t="s">
        <v>574</v>
      </c>
      <c r="F17" s="193" t="s">
        <v>575</v>
      </c>
      <c r="G17" s="173" t="s">
        <v>424</v>
      </c>
      <c r="H17" s="173"/>
      <c r="I17" s="7" t="s">
        <v>576</v>
      </c>
      <c r="J17" s="7" t="s">
        <v>577</v>
      </c>
      <c r="K17" s="7" t="s">
        <v>572</v>
      </c>
      <c r="L17" s="7" t="s">
        <v>572</v>
      </c>
      <c r="M17" s="194">
        <v>24.660271782573943</v>
      </c>
      <c r="N17" s="194">
        <v>26.139088729016791</v>
      </c>
      <c r="O17" s="194">
        <v>22.262190247801758</v>
      </c>
      <c r="P17" s="194">
        <v>26.139088729016791</v>
      </c>
      <c r="Q17" s="195">
        <v>2.5019999999999998</v>
      </c>
      <c r="R17" s="196" t="s">
        <v>422</v>
      </c>
      <c r="S17" s="173">
        <v>7</v>
      </c>
      <c r="T17" s="173">
        <v>52</v>
      </c>
      <c r="U17" s="173">
        <v>24</v>
      </c>
      <c r="V17" s="173">
        <v>8736</v>
      </c>
      <c r="W17" s="235">
        <v>0</v>
      </c>
      <c r="X17" s="235">
        <v>0</v>
      </c>
      <c r="Y17" s="173">
        <v>2516</v>
      </c>
      <c r="Z17" s="7"/>
      <c r="AA17" s="7" t="s">
        <v>576</v>
      </c>
      <c r="AB17" s="7" t="s">
        <v>576</v>
      </c>
      <c r="AC17" s="7"/>
      <c r="AD17" s="7"/>
      <c r="AE17" s="197">
        <v>64.736900000000006</v>
      </c>
      <c r="AF17" s="197">
        <v>-147.35480000000001</v>
      </c>
      <c r="AG17" s="7"/>
      <c r="AH17" s="173">
        <v>150</v>
      </c>
      <c r="AI17" s="173">
        <v>400</v>
      </c>
      <c r="AJ17" s="173">
        <v>0</v>
      </c>
      <c r="AK17" s="173">
        <v>178</v>
      </c>
      <c r="AL17" s="173">
        <v>2</v>
      </c>
      <c r="AM17" s="173">
        <v>0</v>
      </c>
      <c r="AN17" s="173">
        <v>250</v>
      </c>
      <c r="AO17" s="173">
        <v>3769.9111843077517</v>
      </c>
      <c r="AP17" s="173">
        <v>20</v>
      </c>
      <c r="AQ17" s="173">
        <v>0</v>
      </c>
      <c r="AR17" s="173">
        <v>6.0000000000000001E-3</v>
      </c>
      <c r="AS17" s="173">
        <v>30600901</v>
      </c>
      <c r="AT17" s="32">
        <v>3.2066727617416813E-5</v>
      </c>
      <c r="AU17" s="32">
        <v>3.2066727617416813E-5</v>
      </c>
      <c r="AV17" s="32">
        <v>0</v>
      </c>
      <c r="AW17" s="32">
        <v>2.1367725832878209E-4</v>
      </c>
      <c r="AX17" s="32">
        <v>4.7149697401210433E-4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</row>
    <row r="18" spans="1:73" x14ac:dyDescent="0.25">
      <c r="A18" s="172">
        <v>109</v>
      </c>
      <c r="B18" t="s">
        <v>423</v>
      </c>
      <c r="C18" s="172">
        <v>1</v>
      </c>
      <c r="D18" s="172">
        <v>1</v>
      </c>
      <c r="E18" s="177" t="s">
        <v>578</v>
      </c>
      <c r="F18" s="177" t="s">
        <v>578</v>
      </c>
      <c r="G18" s="172" t="s">
        <v>424</v>
      </c>
      <c r="H18" s="172" t="s">
        <v>479</v>
      </c>
      <c r="I18" t="s">
        <v>426</v>
      </c>
      <c r="J18" t="s">
        <v>427</v>
      </c>
      <c r="K18">
        <v>268</v>
      </c>
      <c r="L18" t="s">
        <v>428</v>
      </c>
      <c r="M18" s="198">
        <v>46</v>
      </c>
      <c r="N18" s="198">
        <v>39</v>
      </c>
      <c r="O18" s="198">
        <v>4</v>
      </c>
      <c r="P18" s="198">
        <v>11</v>
      </c>
      <c r="Q18" s="199">
        <v>276237</v>
      </c>
      <c r="R18" s="189" t="s">
        <v>480</v>
      </c>
      <c r="S18" s="172">
        <v>1</v>
      </c>
      <c r="T18" s="172">
        <v>30</v>
      </c>
      <c r="U18" s="172">
        <v>1</v>
      </c>
      <c r="V18" s="172">
        <v>255</v>
      </c>
      <c r="W18" s="219">
        <v>7600</v>
      </c>
      <c r="X18" s="219" t="s">
        <v>481</v>
      </c>
      <c r="Y18" s="172">
        <v>0.14199999999999999</v>
      </c>
      <c r="Z18" t="s">
        <v>482</v>
      </c>
      <c r="AA18" t="s">
        <v>579</v>
      </c>
      <c r="AB18" t="s">
        <v>500</v>
      </c>
      <c r="AE18" s="190">
        <v>64.854010000000002</v>
      </c>
      <c r="AF18" s="190">
        <v>-147.71899999999999</v>
      </c>
      <c r="AH18" s="172">
        <v>0</v>
      </c>
      <c r="AI18" s="172">
        <v>0</v>
      </c>
      <c r="AJ18" s="172">
        <v>0</v>
      </c>
      <c r="AK18" s="172">
        <v>60</v>
      </c>
      <c r="AL18" s="172">
        <v>8</v>
      </c>
      <c r="AM18" s="172">
        <v>0</v>
      </c>
      <c r="AN18" s="172">
        <v>896</v>
      </c>
      <c r="AO18" s="172">
        <v>460875</v>
      </c>
      <c r="AP18" s="172">
        <v>152.80000000000001</v>
      </c>
      <c r="AQ18" s="172">
        <v>0</v>
      </c>
      <c r="AR18" s="172">
        <v>0</v>
      </c>
      <c r="AS18" s="236">
        <v>20100109</v>
      </c>
      <c r="AT18" s="17">
        <v>0.16933524741300135</v>
      </c>
      <c r="AU18" s="17">
        <v>0.16932625765585227</v>
      </c>
      <c r="AV18" s="17">
        <v>0.4468925867066767</v>
      </c>
      <c r="AW18" s="17">
        <v>0.55820300179222482</v>
      </c>
      <c r="AX18" s="17">
        <v>6.9636798964781726E-5</v>
      </c>
      <c r="AY18" s="17">
        <v>0</v>
      </c>
      <c r="AZ18" s="17">
        <v>3.4825901468725729E-3</v>
      </c>
      <c r="BA18" s="17">
        <v>7.3574457271880387E-3</v>
      </c>
      <c r="BB18" s="17">
        <v>7.357015004139213E-3</v>
      </c>
      <c r="BC18" s="17">
        <v>0.2372821054420334</v>
      </c>
      <c r="BD18" s="17">
        <v>0.52542537265728273</v>
      </c>
      <c r="BE18" s="17">
        <v>4.8925866918755481E-5</v>
      </c>
      <c r="BF18" s="17">
        <v>0</v>
      </c>
      <c r="BG18" s="17">
        <v>7.3180986435536005E-3</v>
      </c>
      <c r="BH18" s="17">
        <v>7.4933086193281727E-3</v>
      </c>
      <c r="BI18" s="17">
        <v>7.4928699425300038E-3</v>
      </c>
      <c r="BJ18" s="17">
        <v>0.24166376645508386</v>
      </c>
      <c r="BK18" s="17">
        <v>0.53512789896600355</v>
      </c>
      <c r="BL18" s="17">
        <v>4.9829333967854057E-5</v>
      </c>
      <c r="BM18" s="17">
        <v>0</v>
      </c>
      <c r="BN18" s="17">
        <v>7.4532349508464836E-3</v>
      </c>
      <c r="BO18" s="17">
        <v>7.9060109960650913E-3</v>
      </c>
      <c r="BP18" s="17">
        <v>7.9055481586502423E-3</v>
      </c>
      <c r="BQ18" s="17">
        <v>0.25497366944372535</v>
      </c>
      <c r="BR18" s="17">
        <v>0.56460066820332655</v>
      </c>
      <c r="BS18" s="17">
        <v>5.2573740424930521E-5</v>
      </c>
      <c r="BT18" s="17">
        <v>0</v>
      </c>
      <c r="BU18" s="17">
        <v>7.8637302253449712E-3</v>
      </c>
    </row>
    <row r="19" spans="1:73" x14ac:dyDescent="0.25">
      <c r="A19" s="172">
        <v>109</v>
      </c>
      <c r="B19" t="s">
        <v>423</v>
      </c>
      <c r="C19" s="172">
        <v>2</v>
      </c>
      <c r="D19" s="172">
        <v>2</v>
      </c>
      <c r="E19" s="177" t="s">
        <v>580</v>
      </c>
      <c r="F19" s="177" t="s">
        <v>580</v>
      </c>
      <c r="G19" s="172" t="s">
        <v>424</v>
      </c>
      <c r="H19" s="172" t="s">
        <v>479</v>
      </c>
      <c r="I19" t="s">
        <v>426</v>
      </c>
      <c r="J19" t="s">
        <v>427</v>
      </c>
      <c r="K19">
        <v>268</v>
      </c>
      <c r="L19" t="s">
        <v>428</v>
      </c>
      <c r="M19" s="198">
        <v>35</v>
      </c>
      <c r="N19" s="198">
        <v>4</v>
      </c>
      <c r="O19" s="198">
        <v>48</v>
      </c>
      <c r="P19" s="198">
        <v>13</v>
      </c>
      <c r="Q19" s="199">
        <v>923293</v>
      </c>
      <c r="R19" s="189" t="s">
        <v>480</v>
      </c>
      <c r="S19" s="172">
        <v>2</v>
      </c>
      <c r="T19" s="172">
        <v>40</v>
      </c>
      <c r="U19" s="172">
        <v>3</v>
      </c>
      <c r="V19" s="172">
        <v>937</v>
      </c>
      <c r="W19" s="219">
        <v>7600</v>
      </c>
      <c r="X19" s="219" t="s">
        <v>481</v>
      </c>
      <c r="Y19" s="172">
        <v>0.14199999999999999</v>
      </c>
      <c r="Z19" t="s">
        <v>483</v>
      </c>
      <c r="AA19" t="s">
        <v>581</v>
      </c>
      <c r="AB19" t="s">
        <v>500</v>
      </c>
      <c r="AE19" s="190">
        <v>64.854309999999998</v>
      </c>
      <c r="AF19" s="190">
        <v>-147.71929</v>
      </c>
      <c r="AH19" s="172">
        <v>0</v>
      </c>
      <c r="AI19" s="172">
        <v>0</v>
      </c>
      <c r="AJ19" s="172">
        <v>0</v>
      </c>
      <c r="AK19" s="172">
        <v>60</v>
      </c>
      <c r="AL19" s="172">
        <v>8</v>
      </c>
      <c r="AM19" s="172">
        <v>0</v>
      </c>
      <c r="AN19" s="172">
        <v>896</v>
      </c>
      <c r="AO19" s="172">
        <v>460875</v>
      </c>
      <c r="AP19" s="172">
        <v>152.80000000000001</v>
      </c>
      <c r="AQ19" s="172">
        <v>0</v>
      </c>
      <c r="AR19" s="172">
        <v>0</v>
      </c>
      <c r="AS19" s="236">
        <v>20100109</v>
      </c>
      <c r="AT19" s="17">
        <v>2.3708371508820722E-3</v>
      </c>
      <c r="AU19" s="17">
        <v>2.3707112866538506E-3</v>
      </c>
      <c r="AV19" s="17">
        <v>6.1185606345466621E-3</v>
      </c>
      <c r="AW19" s="17">
        <v>7.8153156805869373E-3</v>
      </c>
      <c r="AX19" s="17">
        <v>9.7497427485693523E-7</v>
      </c>
      <c r="AY19" s="17">
        <v>0</v>
      </c>
      <c r="AZ19" s="17">
        <v>4.8759217160286334E-5</v>
      </c>
      <c r="BA19" s="17">
        <v>1.0301048324022285E-4</v>
      </c>
      <c r="BB19" s="17">
        <v>1.0300445275205516E-4</v>
      </c>
      <c r="BC19" s="17">
        <v>3.2487111955448443E-3</v>
      </c>
      <c r="BD19" s="17">
        <v>7.3564010596904256E-3</v>
      </c>
      <c r="BE19" s="17">
        <v>6.8500365223543939E-7</v>
      </c>
      <c r="BF19" s="17">
        <v>0</v>
      </c>
      <c r="BG19" s="17">
        <v>1.0245959068191294E-4</v>
      </c>
      <c r="BH19" s="17">
        <v>1.0491267901477713E-4</v>
      </c>
      <c r="BI19" s="17">
        <v>1.0490653716736959E-4</v>
      </c>
      <c r="BJ19" s="17">
        <v>3.3087020286574455E-3</v>
      </c>
      <c r="BK19" s="17">
        <v>7.4922446609580456E-3</v>
      </c>
      <c r="BL19" s="17">
        <v>6.9765295754738375E-7</v>
      </c>
      <c r="BM19" s="17">
        <v>0</v>
      </c>
      <c r="BN19" s="17">
        <v>1.0435161365207209E-4</v>
      </c>
      <c r="BO19" s="17">
        <v>1.106908624820314E-4</v>
      </c>
      <c r="BP19" s="17">
        <v>1.1068438236548916E-4</v>
      </c>
      <c r="BQ19" s="17">
        <v>3.4909325039402875E-3</v>
      </c>
      <c r="BR19" s="17">
        <v>7.9048884389943883E-3</v>
      </c>
      <c r="BS19" s="17">
        <v>7.3607697667488647E-7</v>
      </c>
      <c r="BT19" s="17">
        <v>0</v>
      </c>
      <c r="BU19" s="17">
        <v>1.1009889581518203E-4</v>
      </c>
    </row>
    <row r="20" spans="1:73" x14ac:dyDescent="0.25">
      <c r="A20" s="172">
        <v>109</v>
      </c>
      <c r="B20" t="s">
        <v>423</v>
      </c>
      <c r="C20" s="172">
        <v>3</v>
      </c>
      <c r="D20" s="172">
        <v>3</v>
      </c>
      <c r="E20" s="177" t="s">
        <v>582</v>
      </c>
      <c r="F20" s="177" t="s">
        <v>582</v>
      </c>
      <c r="G20" s="172" t="s">
        <v>424</v>
      </c>
      <c r="H20" s="172" t="s">
        <v>484</v>
      </c>
      <c r="I20" t="s">
        <v>433</v>
      </c>
      <c r="J20" t="s">
        <v>427</v>
      </c>
      <c r="K20">
        <v>28</v>
      </c>
      <c r="L20" t="s">
        <v>428</v>
      </c>
      <c r="M20" s="198">
        <v>33</v>
      </c>
      <c r="N20" s="198">
        <v>0</v>
      </c>
      <c r="O20" s="198">
        <v>66</v>
      </c>
      <c r="P20" s="198">
        <v>0</v>
      </c>
      <c r="Q20" s="199">
        <v>696</v>
      </c>
      <c r="R20" s="189" t="s">
        <v>480</v>
      </c>
      <c r="S20" s="172">
        <v>1</v>
      </c>
      <c r="T20" s="172">
        <v>3</v>
      </c>
      <c r="U20" s="172">
        <v>1</v>
      </c>
      <c r="V20" s="172">
        <v>3</v>
      </c>
      <c r="W20" s="219">
        <v>970</v>
      </c>
      <c r="X20" s="219" t="s">
        <v>485</v>
      </c>
      <c r="Y20" s="172">
        <v>0.13400000000000001</v>
      </c>
      <c r="Z20" t="s">
        <v>486</v>
      </c>
      <c r="AA20" t="s">
        <v>583</v>
      </c>
      <c r="AB20" s="73" t="s">
        <v>584</v>
      </c>
      <c r="AD20" s="172"/>
      <c r="AE20" s="203">
        <v>64.853960000000001</v>
      </c>
      <c r="AF20" s="203">
        <v>-147.71838</v>
      </c>
      <c r="AG20" s="172"/>
      <c r="AH20" s="172">
        <v>1</v>
      </c>
      <c r="AI20" s="172">
        <v>0</v>
      </c>
      <c r="AJ20" s="172">
        <v>0</v>
      </c>
      <c r="AK20" s="172">
        <v>36</v>
      </c>
      <c r="AL20" s="172">
        <v>2</v>
      </c>
      <c r="AM20" s="172">
        <v>0</v>
      </c>
      <c r="AN20" s="172">
        <v>750</v>
      </c>
      <c r="AO20" s="172">
        <v>18547.963026794139</v>
      </c>
      <c r="AP20" s="172">
        <v>98.4</v>
      </c>
      <c r="AQ20" s="172">
        <v>0</v>
      </c>
      <c r="AR20" s="172">
        <v>0</v>
      </c>
      <c r="AS20" s="236">
        <v>20100907</v>
      </c>
      <c r="AT20" s="17">
        <v>1.2270667948446805E-4</v>
      </c>
      <c r="AU20" s="17">
        <v>1.2270016516883686E-4</v>
      </c>
      <c r="AV20" s="17">
        <v>1.930108916386489E-4</v>
      </c>
      <c r="AW20" s="17">
        <v>5.8236247690944742E-3</v>
      </c>
      <c r="AX20" s="17">
        <v>1.155061379998707E-4</v>
      </c>
      <c r="AY20" s="17">
        <v>0</v>
      </c>
      <c r="AZ20" s="17">
        <v>1.3277315524477458E-5</v>
      </c>
      <c r="BA20" s="17">
        <v>5.3314814751386207E-6</v>
      </c>
      <c r="BB20" s="17">
        <v>5.3311693570420844E-6</v>
      </c>
      <c r="BC20" s="17">
        <v>1.0248107062765589E-4</v>
      </c>
      <c r="BD20" s="17">
        <v>5.4816620560858261E-3</v>
      </c>
      <c r="BE20" s="17">
        <v>8.1153040060602852E-5</v>
      </c>
      <c r="BF20" s="17">
        <v>0</v>
      </c>
      <c r="BG20" s="17">
        <v>2.7900126237067329E-5</v>
      </c>
      <c r="BH20" s="17">
        <v>5.4299328289728982E-6</v>
      </c>
      <c r="BI20" s="17">
        <v>5.4296149472908929E-6</v>
      </c>
      <c r="BJ20" s="17">
        <v>1.0437349024736706E-4</v>
      </c>
      <c r="BK20" s="17">
        <v>5.5828866506380578E-3</v>
      </c>
      <c r="BL20" s="17">
        <v>8.2651615400119717E-5</v>
      </c>
      <c r="BM20" s="17">
        <v>0</v>
      </c>
      <c r="BN20" s="17">
        <v>2.8415331103293581E-5</v>
      </c>
      <c r="BO20" s="17">
        <v>5.7289924697647719E-6</v>
      </c>
      <c r="BP20" s="17">
        <v>5.7286570803925939E-6</v>
      </c>
      <c r="BQ20" s="17">
        <v>1.1012197728849973E-4</v>
      </c>
      <c r="BR20" s="17">
        <v>5.8903703947118099E-3</v>
      </c>
      <c r="BS20" s="17">
        <v>8.7203745820691323E-5</v>
      </c>
      <c r="BT20" s="17">
        <v>0</v>
      </c>
      <c r="BU20" s="17">
        <v>2.9980337334565979E-5</v>
      </c>
    </row>
    <row r="21" spans="1:73" x14ac:dyDescent="0.25">
      <c r="A21" s="173">
        <v>109</v>
      </c>
      <c r="B21" s="7" t="s">
        <v>423</v>
      </c>
      <c r="C21" s="173">
        <v>4</v>
      </c>
      <c r="D21" s="173">
        <v>4</v>
      </c>
      <c r="E21" s="193" t="s">
        <v>585</v>
      </c>
      <c r="F21" s="193" t="s">
        <v>585</v>
      </c>
      <c r="G21" s="173" t="s">
        <v>424</v>
      </c>
      <c r="H21" s="173" t="s">
        <v>487</v>
      </c>
      <c r="I21" s="7" t="s">
        <v>433</v>
      </c>
      <c r="J21" s="7" t="s">
        <v>427</v>
      </c>
      <c r="K21" s="7">
        <v>28</v>
      </c>
      <c r="L21" s="7" t="s">
        <v>428</v>
      </c>
      <c r="M21" s="204">
        <v>52</v>
      </c>
      <c r="N21" s="204">
        <v>0</v>
      </c>
      <c r="O21" s="204">
        <v>47</v>
      </c>
      <c r="P21" s="204">
        <v>0</v>
      </c>
      <c r="Q21" s="195">
        <v>430</v>
      </c>
      <c r="R21" s="196" t="s">
        <v>480</v>
      </c>
      <c r="S21" s="173">
        <v>1</v>
      </c>
      <c r="T21" s="173">
        <v>3</v>
      </c>
      <c r="U21" s="173">
        <v>0</v>
      </c>
      <c r="V21" s="173">
        <v>2</v>
      </c>
      <c r="W21" s="235">
        <v>970</v>
      </c>
      <c r="X21" s="235">
        <v>970</v>
      </c>
      <c r="Y21" s="173">
        <v>0.14199999999999999</v>
      </c>
      <c r="Z21" s="7" t="s">
        <v>486</v>
      </c>
      <c r="AA21" s="7" t="s">
        <v>586</v>
      </c>
      <c r="AB21" s="205" t="s">
        <v>584</v>
      </c>
      <c r="AC21" s="7"/>
      <c r="AD21" s="173"/>
      <c r="AE21" s="206">
        <v>64.853899999999996</v>
      </c>
      <c r="AF21" s="206">
        <v>-147.71818999999999</v>
      </c>
      <c r="AG21" s="173"/>
      <c r="AH21" s="173">
        <v>1</v>
      </c>
      <c r="AI21" s="173">
        <v>0</v>
      </c>
      <c r="AJ21" s="173">
        <v>0</v>
      </c>
      <c r="AK21" s="173">
        <v>36</v>
      </c>
      <c r="AL21" s="173">
        <v>2</v>
      </c>
      <c r="AM21" s="173">
        <v>0</v>
      </c>
      <c r="AN21" s="173">
        <v>750</v>
      </c>
      <c r="AO21" s="173">
        <v>18547.963026794139</v>
      </c>
      <c r="AP21" s="173">
        <v>98.4</v>
      </c>
      <c r="AQ21" s="173">
        <v>0</v>
      </c>
      <c r="AR21" s="173">
        <v>0</v>
      </c>
      <c r="AS21" s="237">
        <v>20100907</v>
      </c>
      <c r="AT21" s="32">
        <v>1.2118439896846783E-5</v>
      </c>
      <c r="AU21" s="32">
        <v>1.2117796546845155E-5</v>
      </c>
      <c r="AV21" s="32">
        <v>2.0695089745444082E-5</v>
      </c>
      <c r="AW21" s="32">
        <v>5.751377760571919E-4</v>
      </c>
      <c r="AX21" s="32">
        <v>1.1407318631301573E-5</v>
      </c>
      <c r="AY21" s="32">
        <v>0</v>
      </c>
      <c r="AZ21" s="32">
        <v>1.3112599155225058E-6</v>
      </c>
      <c r="BA21" s="32">
        <v>5.2653399219231165E-7</v>
      </c>
      <c r="BB21" s="32">
        <v>5.265031675916503E-7</v>
      </c>
      <c r="BC21" s="32">
        <v>1.098826566647417E-5</v>
      </c>
      <c r="BD21" s="32">
        <v>5.413657385286031E-4</v>
      </c>
      <c r="BE21" s="32">
        <v>8.0146267713592344E-6</v>
      </c>
      <c r="BF21" s="32">
        <v>0</v>
      </c>
      <c r="BG21" s="32">
        <v>2.7554001488658583E-6</v>
      </c>
      <c r="BH21" s="32">
        <v>5.3625699031447083E-7</v>
      </c>
      <c r="BI21" s="32">
        <v>5.3622559650547977E-7</v>
      </c>
      <c r="BJ21" s="32">
        <v>1.1191175427335143E-5</v>
      </c>
      <c r="BK21" s="32">
        <v>5.5136262028204644E-4</v>
      </c>
      <c r="BL21" s="32">
        <v>8.1626251953988225E-6</v>
      </c>
      <c r="BM21" s="32">
        <v>0</v>
      </c>
      <c r="BN21" s="32">
        <v>2.8062814801198432E-6</v>
      </c>
      <c r="BO21" s="32">
        <v>5.657919455242046E-7</v>
      </c>
      <c r="BP21" s="32">
        <v>5.6575882266597179E-7</v>
      </c>
      <c r="BQ21" s="32">
        <v>1.1807541966066484E-5</v>
      </c>
      <c r="BR21" s="32">
        <v>5.817295350047843E-4</v>
      </c>
      <c r="BS21" s="32">
        <v>8.6121909332712042E-6</v>
      </c>
      <c r="BT21" s="32">
        <v>0</v>
      </c>
      <c r="BU21" s="32">
        <v>2.9608405801749126E-6</v>
      </c>
    </row>
    <row r="22" spans="1:73" x14ac:dyDescent="0.25">
      <c r="A22" s="172">
        <v>110</v>
      </c>
      <c r="B22" t="s">
        <v>434</v>
      </c>
      <c r="C22" s="172">
        <v>1</v>
      </c>
      <c r="D22" s="172" t="s">
        <v>435</v>
      </c>
      <c r="E22" s="177" t="s">
        <v>587</v>
      </c>
      <c r="F22" s="177" t="s">
        <v>588</v>
      </c>
      <c r="G22" s="172" t="s">
        <v>424</v>
      </c>
      <c r="H22" s="172" t="s">
        <v>479</v>
      </c>
      <c r="I22" t="s">
        <v>426</v>
      </c>
      <c r="J22" t="s">
        <v>427</v>
      </c>
      <c r="K22">
        <v>672</v>
      </c>
      <c r="L22" t="s">
        <v>428</v>
      </c>
      <c r="M22" s="198">
        <v>48</v>
      </c>
      <c r="N22" s="198">
        <v>21</v>
      </c>
      <c r="O22" s="198">
        <v>31</v>
      </c>
      <c r="P22" s="198">
        <v>0</v>
      </c>
      <c r="Q22" s="199">
        <v>1586530</v>
      </c>
      <c r="R22" s="189" t="s">
        <v>429</v>
      </c>
      <c r="S22" s="172">
        <v>1</v>
      </c>
      <c r="T22" s="172">
        <v>25</v>
      </c>
      <c r="U22" s="172">
        <v>2</v>
      </c>
      <c r="V22" s="172">
        <v>600</v>
      </c>
      <c r="W22" s="219">
        <v>7600</v>
      </c>
      <c r="X22" s="219" t="s">
        <v>481</v>
      </c>
      <c r="Y22" s="172">
        <v>0.14199999999999999</v>
      </c>
      <c r="Z22" t="s">
        <v>488</v>
      </c>
      <c r="AA22" t="s">
        <v>589</v>
      </c>
      <c r="AB22" s="73" t="s">
        <v>500</v>
      </c>
      <c r="AD22" s="172"/>
      <c r="AE22" s="203">
        <v>64.735489999999999</v>
      </c>
      <c r="AF22" s="203">
        <v>-147.35021</v>
      </c>
      <c r="AG22" s="172"/>
      <c r="AH22" s="172">
        <v>1</v>
      </c>
      <c r="AI22" s="172">
        <v>0</v>
      </c>
      <c r="AJ22" s="172">
        <v>0</v>
      </c>
      <c r="AK22" s="172">
        <v>62</v>
      </c>
      <c r="AL22" s="172">
        <v>8.4600000000000009</v>
      </c>
      <c r="AM22" s="172">
        <v>0</v>
      </c>
      <c r="AN22" s="172">
        <v>729</v>
      </c>
      <c r="AO22" s="172">
        <v>620700</v>
      </c>
      <c r="AP22" s="172">
        <v>182</v>
      </c>
      <c r="AQ22" s="172">
        <v>0</v>
      </c>
      <c r="AR22" s="172">
        <v>0</v>
      </c>
      <c r="AS22" s="236">
        <v>20100109</v>
      </c>
      <c r="AT22" s="17">
        <v>8.1588319656527769E-2</v>
      </c>
      <c r="AU22" s="17">
        <v>8.1588319656527769E-2</v>
      </c>
      <c r="AV22" s="17">
        <v>0.2099614670564606</v>
      </c>
      <c r="AW22" s="17">
        <v>0.3754008830283686</v>
      </c>
      <c r="AX22" s="17">
        <v>2.3917710144137608E-4</v>
      </c>
      <c r="AY22" s="17">
        <v>0</v>
      </c>
      <c r="AZ22" s="17">
        <v>2.871931608350386E-3</v>
      </c>
      <c r="BA22" s="17">
        <v>2.8996872240789402E-2</v>
      </c>
      <c r="BB22" s="17">
        <v>2.8996872240789402E-2</v>
      </c>
      <c r="BC22" s="17">
        <v>0.33611429688782085</v>
      </c>
      <c r="BD22" s="17">
        <v>0.64675919172575058</v>
      </c>
      <c r="BE22" s="17">
        <v>9.3940108350123658E-5</v>
      </c>
      <c r="BF22" s="17">
        <v>0</v>
      </c>
      <c r="BG22" s="17">
        <v>2.7684582305529965E-4</v>
      </c>
      <c r="BH22" s="17">
        <v>2.9532329663342117E-2</v>
      </c>
      <c r="BI22" s="17">
        <v>2.9532329663342117E-2</v>
      </c>
      <c r="BJ22" s="17">
        <v>0.34232099716915332</v>
      </c>
      <c r="BK22" s="17">
        <v>0.6587022732739255</v>
      </c>
      <c r="BL22" s="17">
        <v>9.567481021292402E-5</v>
      </c>
      <c r="BM22" s="17">
        <v>0</v>
      </c>
      <c r="BN22" s="17">
        <v>2.8195806928746922E-4</v>
      </c>
      <c r="BO22" s="17">
        <v>3.1158855843139616E-2</v>
      </c>
      <c r="BP22" s="17">
        <v>3.1158855843139616E-2</v>
      </c>
      <c r="BQ22" s="17">
        <v>0.36117471003695834</v>
      </c>
      <c r="BR22" s="17">
        <v>0.694981039777811</v>
      </c>
      <c r="BS22" s="17">
        <v>1.0094420769468251E-4</v>
      </c>
      <c r="BT22" s="17">
        <v>0</v>
      </c>
      <c r="BU22" s="17">
        <v>2.9748722619886897E-4</v>
      </c>
    </row>
    <row r="23" spans="1:73" x14ac:dyDescent="0.25">
      <c r="A23" s="172">
        <v>110</v>
      </c>
      <c r="B23" t="s">
        <v>434</v>
      </c>
      <c r="C23" s="172">
        <v>2</v>
      </c>
      <c r="D23" s="172" t="s">
        <v>436</v>
      </c>
      <c r="E23" s="177" t="s">
        <v>590</v>
      </c>
      <c r="F23" s="177" t="s">
        <v>591</v>
      </c>
      <c r="G23" s="172" t="s">
        <v>424</v>
      </c>
      <c r="H23" s="172" t="s">
        <v>479</v>
      </c>
      <c r="I23" t="s">
        <v>426</v>
      </c>
      <c r="J23" t="s">
        <v>427</v>
      </c>
      <c r="K23">
        <v>672</v>
      </c>
      <c r="L23" t="s">
        <v>428</v>
      </c>
      <c r="M23" s="198">
        <v>41</v>
      </c>
      <c r="N23" s="198">
        <v>6</v>
      </c>
      <c r="O23" s="198">
        <v>2</v>
      </c>
      <c r="P23" s="198">
        <v>52</v>
      </c>
      <c r="Q23" s="199">
        <v>1177691</v>
      </c>
      <c r="R23" s="189" t="s">
        <v>489</v>
      </c>
      <c r="S23" s="172">
        <v>1</v>
      </c>
      <c r="T23" s="172">
        <v>18</v>
      </c>
      <c r="U23" s="172">
        <v>1</v>
      </c>
      <c r="V23" s="172">
        <v>506</v>
      </c>
      <c r="W23" s="219">
        <v>7600</v>
      </c>
      <c r="X23" s="219" t="s">
        <v>481</v>
      </c>
      <c r="Y23" s="172">
        <v>0.14199999999999999</v>
      </c>
      <c r="Z23" t="s">
        <v>488</v>
      </c>
      <c r="AA23" t="s">
        <v>592</v>
      </c>
      <c r="AB23" s="73" t="s">
        <v>500</v>
      </c>
      <c r="AD23" s="172"/>
      <c r="AE23" s="203">
        <v>64.735489999999999</v>
      </c>
      <c r="AF23" s="203">
        <v>-147.35127</v>
      </c>
      <c r="AG23" s="172"/>
      <c r="AH23" s="172">
        <v>1</v>
      </c>
      <c r="AI23" s="172">
        <v>0</v>
      </c>
      <c r="AJ23" s="172">
        <v>0</v>
      </c>
      <c r="AK23" s="172">
        <v>62</v>
      </c>
      <c r="AL23" s="172">
        <v>8.4600000000000009</v>
      </c>
      <c r="AM23" s="172">
        <v>0</v>
      </c>
      <c r="AN23" s="172">
        <v>729</v>
      </c>
      <c r="AO23" s="172">
        <v>620700</v>
      </c>
      <c r="AP23" s="172">
        <v>182</v>
      </c>
      <c r="AQ23" s="172">
        <v>0</v>
      </c>
      <c r="AR23" s="172">
        <v>0</v>
      </c>
      <c r="AS23" s="236">
        <v>20100109</v>
      </c>
      <c r="AT23" s="17">
        <v>0.32972554622470418</v>
      </c>
      <c r="AU23" s="17">
        <v>0.32972554622470418</v>
      </c>
      <c r="AV23" s="17">
        <v>0.88682121212047604</v>
      </c>
      <c r="AW23" s="17">
        <v>1.5087496757312351</v>
      </c>
      <c r="AX23" s="17">
        <v>1.0533314178440526E-3</v>
      </c>
      <c r="AY23" s="17">
        <v>0</v>
      </c>
      <c r="AZ23" s="17">
        <v>1.1693759536747532E-2</v>
      </c>
      <c r="BA23" s="17">
        <v>0.11785140765734484</v>
      </c>
      <c r="BB23" s="17">
        <v>0.11785140765734484</v>
      </c>
      <c r="BC23" s="17">
        <v>1.3607045318171942</v>
      </c>
      <c r="BD23" s="17">
        <v>2.628610442094057</v>
      </c>
      <c r="BE23" s="17">
        <v>3.8179890274414564E-4</v>
      </c>
      <c r="BF23" s="17">
        <v>0</v>
      </c>
      <c r="BG23" s="17">
        <v>1.1251789393073889E-3</v>
      </c>
      <c r="BH23" s="17">
        <v>0.12002765654599717</v>
      </c>
      <c r="BI23" s="17">
        <v>0.12002765654599717</v>
      </c>
      <c r="BJ23" s="17">
        <v>1.3858313570627714</v>
      </c>
      <c r="BK23" s="17">
        <v>2.6771504694642818</v>
      </c>
      <c r="BL23" s="17">
        <v>3.8884921681592549E-4</v>
      </c>
      <c r="BM23" s="17">
        <v>0</v>
      </c>
      <c r="BN23" s="17">
        <v>1.1459565393791868E-3</v>
      </c>
      <c r="BO23" s="17">
        <v>0.12663831435380771</v>
      </c>
      <c r="BP23" s="17">
        <v>0.12663831435380771</v>
      </c>
      <c r="BQ23" s="17">
        <v>1.4621575734074586</v>
      </c>
      <c r="BR23" s="17">
        <v>2.8245975342735954</v>
      </c>
      <c r="BS23" s="17">
        <v>4.1026552356702913E-4</v>
      </c>
      <c r="BT23" s="17">
        <v>0</v>
      </c>
      <c r="BU23" s="17">
        <v>1.2090713810953156E-3</v>
      </c>
    </row>
    <row r="24" spans="1:73" x14ac:dyDescent="0.25">
      <c r="A24" s="172">
        <v>110</v>
      </c>
      <c r="B24" t="s">
        <v>434</v>
      </c>
      <c r="C24" s="172">
        <v>5</v>
      </c>
      <c r="D24" s="172">
        <v>5</v>
      </c>
      <c r="E24" s="177" t="s">
        <v>593</v>
      </c>
      <c r="F24" s="177" t="s">
        <v>593</v>
      </c>
      <c r="G24" s="172" t="s">
        <v>424</v>
      </c>
      <c r="H24" s="172" t="s">
        <v>490</v>
      </c>
      <c r="I24" t="s">
        <v>426</v>
      </c>
      <c r="J24" t="s">
        <v>427</v>
      </c>
      <c r="K24">
        <v>455</v>
      </c>
      <c r="L24" t="s">
        <v>428</v>
      </c>
      <c r="M24" s="198">
        <v>29</v>
      </c>
      <c r="N24" s="198">
        <v>20</v>
      </c>
      <c r="O24" s="198">
        <v>25</v>
      </c>
      <c r="P24" s="198">
        <v>26</v>
      </c>
      <c r="Q24" s="199">
        <v>23345055</v>
      </c>
      <c r="R24" s="189" t="s">
        <v>429</v>
      </c>
      <c r="S24" s="172">
        <v>7</v>
      </c>
      <c r="T24" s="172">
        <v>52</v>
      </c>
      <c r="U24" s="172">
        <v>24</v>
      </c>
      <c r="V24" s="172">
        <v>8580</v>
      </c>
      <c r="W24" s="219" t="s">
        <v>491</v>
      </c>
      <c r="X24" s="219" t="s">
        <v>492</v>
      </c>
      <c r="Y24" s="172">
        <v>0.122</v>
      </c>
      <c r="Z24" t="s">
        <v>487</v>
      </c>
      <c r="AA24" t="s">
        <v>594</v>
      </c>
      <c r="AB24" t="s">
        <v>500</v>
      </c>
      <c r="AE24" s="190">
        <v>64.734260000000006</v>
      </c>
      <c r="AF24" s="190">
        <v>-147.34985</v>
      </c>
      <c r="AH24" s="172">
        <v>1</v>
      </c>
      <c r="AI24" s="172">
        <v>0</v>
      </c>
      <c r="AJ24" s="172">
        <v>0</v>
      </c>
      <c r="AK24" s="172">
        <v>110</v>
      </c>
      <c r="AL24" s="172">
        <v>11.11</v>
      </c>
      <c r="AM24" s="172">
        <v>0</v>
      </c>
      <c r="AN24" s="172">
        <v>270</v>
      </c>
      <c r="AO24" s="172">
        <v>347949</v>
      </c>
      <c r="AP24" s="172">
        <v>73.8</v>
      </c>
      <c r="AQ24" s="172">
        <v>0</v>
      </c>
      <c r="AR24" s="172">
        <v>0</v>
      </c>
      <c r="AS24" s="236">
        <v>20100909</v>
      </c>
      <c r="AT24" s="17">
        <v>3.4802412945869311E-2</v>
      </c>
      <c r="AU24" s="17">
        <v>3.4802412945869311E-2</v>
      </c>
      <c r="AV24" s="17">
        <v>4.9736361044408805E-3</v>
      </c>
      <c r="AW24" s="17">
        <v>0.90979265539210818</v>
      </c>
      <c r="AX24" s="17">
        <v>2.1272096075065482E-3</v>
      </c>
      <c r="AY24" s="17">
        <v>0</v>
      </c>
      <c r="AZ24" s="17">
        <v>3.0463583892191049E-2</v>
      </c>
      <c r="BA24" s="17">
        <v>1.2369573135776817E-2</v>
      </c>
      <c r="BB24" s="17">
        <v>1.2369573135776817E-2</v>
      </c>
      <c r="BC24" s="17">
        <v>7.9489125569598383E-3</v>
      </c>
      <c r="BD24" s="17">
        <v>1.5675936640006427</v>
      </c>
      <c r="BE24" s="17">
        <v>8.3485946847016671E-4</v>
      </c>
      <c r="BF24" s="17">
        <v>0</v>
      </c>
      <c r="BG24" s="17">
        <v>2.9365517335207185E-3</v>
      </c>
      <c r="BH24" s="17">
        <v>1.2597990176565219E-2</v>
      </c>
      <c r="BI24" s="17">
        <v>1.2597990176565219E-2</v>
      </c>
      <c r="BJ24" s="17">
        <v>8.0956974996427063E-3</v>
      </c>
      <c r="BK24" s="17">
        <v>1.5965409123785215</v>
      </c>
      <c r="BL24" s="17">
        <v>8.5027601738167115E-4</v>
      </c>
      <c r="BM24" s="17">
        <v>0</v>
      </c>
      <c r="BN24" s="17">
        <v>2.9907782173071965E-3</v>
      </c>
      <c r="BO24" s="17">
        <v>1.3291838615499924E-2</v>
      </c>
      <c r="BP24" s="17">
        <v>1.3291838615499924E-2</v>
      </c>
      <c r="BQ24" s="17">
        <v>8.5415771196049265E-3</v>
      </c>
      <c r="BR24" s="17">
        <v>1.6844721938149747</v>
      </c>
      <c r="BS24" s="17">
        <v>8.971059227122324E-4</v>
      </c>
      <c r="BT24" s="17">
        <v>0</v>
      </c>
      <c r="BU24" s="17">
        <v>3.1554986820951985E-3</v>
      </c>
    </row>
    <row r="25" spans="1:73" x14ac:dyDescent="0.25">
      <c r="A25" s="172">
        <v>110</v>
      </c>
      <c r="B25" t="s">
        <v>434</v>
      </c>
      <c r="C25" s="172">
        <v>7</v>
      </c>
      <c r="D25" s="172">
        <v>7</v>
      </c>
      <c r="E25" s="177" t="s">
        <v>595</v>
      </c>
      <c r="F25" s="177" t="s">
        <v>595</v>
      </c>
      <c r="G25" s="172" t="s">
        <v>424</v>
      </c>
      <c r="H25" s="172" t="s">
        <v>438</v>
      </c>
      <c r="I25" t="s">
        <v>433</v>
      </c>
      <c r="J25" t="s">
        <v>439</v>
      </c>
      <c r="K25">
        <v>400</v>
      </c>
      <c r="L25" t="s">
        <v>440</v>
      </c>
      <c r="M25" s="198">
        <v>25</v>
      </c>
      <c r="N25" s="198">
        <v>25</v>
      </c>
      <c r="O25" s="198">
        <v>25</v>
      </c>
      <c r="P25" s="198">
        <v>25</v>
      </c>
      <c r="Q25" s="199">
        <v>0</v>
      </c>
      <c r="R25" s="189">
        <v>0</v>
      </c>
      <c r="S25" s="172">
        <v>7</v>
      </c>
      <c r="T25" s="172">
        <v>52</v>
      </c>
      <c r="U25" s="172">
        <v>24</v>
      </c>
      <c r="V25" s="172">
        <v>8736</v>
      </c>
      <c r="W25" s="219" t="s">
        <v>493</v>
      </c>
      <c r="X25" s="219" t="s">
        <v>493</v>
      </c>
      <c r="Y25" s="172">
        <v>134</v>
      </c>
      <c r="Z25" t="s">
        <v>441</v>
      </c>
      <c r="AA25" t="s">
        <v>596</v>
      </c>
      <c r="AB25" s="73" t="s">
        <v>500</v>
      </c>
      <c r="AD25" s="172"/>
      <c r="AE25" s="203">
        <v>64.734099999999998</v>
      </c>
      <c r="AF25" s="203">
        <v>-147.35072</v>
      </c>
      <c r="AG25" s="172"/>
      <c r="AH25" s="172">
        <v>1</v>
      </c>
      <c r="AI25" s="172">
        <v>0</v>
      </c>
      <c r="AJ25" s="172">
        <v>0</v>
      </c>
      <c r="AK25" s="172">
        <v>27</v>
      </c>
      <c r="AL25" s="172">
        <v>0.83</v>
      </c>
      <c r="AM25" s="172">
        <v>0</v>
      </c>
      <c r="AN25" s="172">
        <v>1299</v>
      </c>
      <c r="AO25" s="172">
        <v>2878</v>
      </c>
      <c r="AP25" s="172">
        <v>88.7</v>
      </c>
      <c r="AQ25" s="172">
        <v>0</v>
      </c>
      <c r="AR25" s="172">
        <v>0</v>
      </c>
      <c r="AS25" s="236">
        <v>20100907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7">
        <v>0</v>
      </c>
    </row>
    <row r="26" spans="1:73" x14ac:dyDescent="0.25">
      <c r="A26" s="172">
        <v>110</v>
      </c>
      <c r="B26" t="s">
        <v>434</v>
      </c>
      <c r="C26" s="172">
        <v>11</v>
      </c>
      <c r="D26" s="172">
        <v>11</v>
      </c>
      <c r="E26" s="177" t="s">
        <v>597</v>
      </c>
      <c r="F26" s="177" t="s">
        <v>597</v>
      </c>
      <c r="G26" s="172" t="s">
        <v>424</v>
      </c>
      <c r="H26" s="172" t="s">
        <v>421</v>
      </c>
      <c r="I26" t="s">
        <v>442</v>
      </c>
      <c r="J26" t="s">
        <v>443</v>
      </c>
      <c r="K26">
        <v>5</v>
      </c>
      <c r="L26" t="s">
        <v>428</v>
      </c>
      <c r="M26" s="198">
        <v>25</v>
      </c>
      <c r="N26" s="198">
        <v>25</v>
      </c>
      <c r="O26" s="198">
        <v>25</v>
      </c>
      <c r="P26" s="198">
        <v>25</v>
      </c>
      <c r="Q26" s="199">
        <v>0</v>
      </c>
      <c r="R26" s="189">
        <v>0</v>
      </c>
      <c r="S26" s="172">
        <v>7</v>
      </c>
      <c r="T26" s="172">
        <v>52</v>
      </c>
      <c r="U26" s="172">
        <v>24</v>
      </c>
      <c r="V26" s="172">
        <v>8736</v>
      </c>
      <c r="W26" s="219">
        <v>11.999999999999998</v>
      </c>
      <c r="X26" s="219">
        <v>11.999999999999998</v>
      </c>
      <c r="Y26" s="172">
        <v>91.6</v>
      </c>
      <c r="Z26" t="s">
        <v>444</v>
      </c>
      <c r="AA26" t="s">
        <v>598</v>
      </c>
      <c r="AB26" s="73" t="s">
        <v>500</v>
      </c>
      <c r="AD26" s="172"/>
      <c r="AE26" s="203">
        <v>64.734160000000003</v>
      </c>
      <c r="AF26" s="203">
        <v>-147.35072</v>
      </c>
      <c r="AG26" s="172"/>
      <c r="AH26" s="172">
        <v>1</v>
      </c>
      <c r="AI26" s="172">
        <v>0</v>
      </c>
      <c r="AJ26" s="172">
        <v>0</v>
      </c>
      <c r="AK26" s="172">
        <v>63</v>
      </c>
      <c r="AL26" s="172">
        <v>0.98</v>
      </c>
      <c r="AM26" s="172">
        <v>0</v>
      </c>
      <c r="AN26" s="172">
        <v>450</v>
      </c>
      <c r="AO26" s="172">
        <v>5477</v>
      </c>
      <c r="AP26" s="172">
        <v>121</v>
      </c>
      <c r="AQ26" s="172">
        <v>0</v>
      </c>
      <c r="AR26" s="172">
        <v>0</v>
      </c>
      <c r="AS26" s="172">
        <v>10500110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  <c r="BU26" s="17">
        <v>0</v>
      </c>
    </row>
    <row r="27" spans="1:73" x14ac:dyDescent="0.25">
      <c r="A27" s="173">
        <v>110</v>
      </c>
      <c r="B27" s="7" t="s">
        <v>434</v>
      </c>
      <c r="C27" s="173">
        <v>12</v>
      </c>
      <c r="D27" s="173">
        <v>11</v>
      </c>
      <c r="E27" s="193" t="s">
        <v>599</v>
      </c>
      <c r="F27" s="193" t="s">
        <v>597</v>
      </c>
      <c r="G27" s="173" t="s">
        <v>424</v>
      </c>
      <c r="H27" s="173" t="s">
        <v>421</v>
      </c>
      <c r="I27" s="7" t="s">
        <v>442</v>
      </c>
      <c r="J27" s="7" t="s">
        <v>443</v>
      </c>
      <c r="K27" s="7">
        <v>5</v>
      </c>
      <c r="L27" s="7" t="s">
        <v>428</v>
      </c>
      <c r="M27" s="204">
        <v>25</v>
      </c>
      <c r="N27" s="204">
        <v>25</v>
      </c>
      <c r="O27" s="204">
        <v>25</v>
      </c>
      <c r="P27" s="204">
        <v>25</v>
      </c>
      <c r="Q27" s="195">
        <v>0</v>
      </c>
      <c r="R27" s="196">
        <v>0</v>
      </c>
      <c r="S27" s="173">
        <v>7</v>
      </c>
      <c r="T27" s="173">
        <v>52</v>
      </c>
      <c r="U27" s="173">
        <v>24</v>
      </c>
      <c r="V27" s="173">
        <v>8736</v>
      </c>
      <c r="W27" s="235">
        <v>11.999999999999998</v>
      </c>
      <c r="X27" s="235">
        <v>11.999999999999998</v>
      </c>
      <c r="Y27" s="173">
        <v>91.6</v>
      </c>
      <c r="Z27" s="7" t="s">
        <v>444</v>
      </c>
      <c r="AA27" s="7" t="s">
        <v>598</v>
      </c>
      <c r="AB27" s="205" t="s">
        <v>500</v>
      </c>
      <c r="AC27" s="7"/>
      <c r="AD27" s="173"/>
      <c r="AE27" s="206">
        <v>64.734160000000003</v>
      </c>
      <c r="AF27" s="206">
        <v>-147.35072</v>
      </c>
      <c r="AG27" s="173"/>
      <c r="AH27" s="173">
        <v>1</v>
      </c>
      <c r="AI27" s="173">
        <v>0</v>
      </c>
      <c r="AJ27" s="173">
        <v>0</v>
      </c>
      <c r="AK27" s="173">
        <v>63</v>
      </c>
      <c r="AL27" s="173">
        <v>0.98</v>
      </c>
      <c r="AM27" s="173">
        <v>0</v>
      </c>
      <c r="AN27" s="173">
        <v>450</v>
      </c>
      <c r="AO27" s="173">
        <v>5477</v>
      </c>
      <c r="AP27" s="173">
        <v>121</v>
      </c>
      <c r="AQ27" s="173">
        <v>0</v>
      </c>
      <c r="AR27" s="173">
        <v>0</v>
      </c>
      <c r="AS27" s="173">
        <v>10500110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  <c r="BJ27" s="32">
        <v>0</v>
      </c>
      <c r="BK27" s="32">
        <v>0</v>
      </c>
      <c r="BL27" s="32">
        <v>0</v>
      </c>
      <c r="BM27" s="32">
        <v>0</v>
      </c>
      <c r="BN27" s="32">
        <v>0</v>
      </c>
      <c r="BO27" s="32">
        <v>0</v>
      </c>
      <c r="BP27" s="32">
        <v>0</v>
      </c>
      <c r="BQ27" s="32">
        <v>0</v>
      </c>
      <c r="BR27" s="32">
        <v>0</v>
      </c>
      <c r="BS27" s="32">
        <v>0</v>
      </c>
      <c r="BT27" s="32">
        <v>0</v>
      </c>
      <c r="BU27" s="32">
        <v>0</v>
      </c>
    </row>
    <row r="28" spans="1:73" x14ac:dyDescent="0.25">
      <c r="A28" s="172">
        <v>264</v>
      </c>
      <c r="B28" t="s">
        <v>494</v>
      </c>
      <c r="C28" s="238">
        <v>1</v>
      </c>
      <c r="D28" s="238">
        <v>1</v>
      </c>
      <c r="E28" s="177" t="s">
        <v>600</v>
      </c>
      <c r="F28" s="177" t="s">
        <v>600</v>
      </c>
      <c r="G28" s="172" t="s">
        <v>424</v>
      </c>
      <c r="H28" s="172" t="s">
        <v>195</v>
      </c>
      <c r="I28" t="s">
        <v>495</v>
      </c>
      <c r="J28" t="s">
        <v>496</v>
      </c>
      <c r="K28">
        <v>120000</v>
      </c>
      <c r="L28" t="s">
        <v>497</v>
      </c>
      <c r="M28" s="198"/>
      <c r="N28" s="198"/>
      <c r="O28" s="198"/>
      <c r="P28" s="198"/>
      <c r="Q28" s="199"/>
      <c r="R28" s="189"/>
      <c r="S28" s="172"/>
      <c r="T28" s="172"/>
      <c r="U28" s="172"/>
      <c r="V28" s="172"/>
      <c r="W28" s="219" t="s">
        <v>498</v>
      </c>
      <c r="X28" s="219" t="s">
        <v>498</v>
      </c>
      <c r="Y28" s="172"/>
      <c r="AA28" s="187" t="s">
        <v>499</v>
      </c>
      <c r="AB28" s="239" t="s">
        <v>500</v>
      </c>
      <c r="AC28" s="240">
        <v>64.672044</v>
      </c>
      <c r="AD28" s="240">
        <v>-147.07651999999999</v>
      </c>
      <c r="AE28" s="241">
        <v>64.672044</v>
      </c>
      <c r="AF28" s="241">
        <v>-147.07651999999999</v>
      </c>
      <c r="AG28" s="239">
        <v>27</v>
      </c>
      <c r="AH28" s="239">
        <v>570</v>
      </c>
      <c r="AI28" s="239">
        <v>7</v>
      </c>
      <c r="AJ28" s="239"/>
      <c r="AK28" s="239">
        <v>114</v>
      </c>
      <c r="AL28" s="239">
        <v>6</v>
      </c>
      <c r="AM28" s="239">
        <v>1</v>
      </c>
      <c r="AN28" s="239">
        <v>435</v>
      </c>
      <c r="AO28" s="239">
        <v>48000</v>
      </c>
      <c r="AP28" s="239">
        <v>48</v>
      </c>
      <c r="AQ28" s="242"/>
      <c r="AR28" s="242"/>
      <c r="AS28" s="243">
        <v>10100224</v>
      </c>
      <c r="AT28" s="17">
        <v>8.7763158798818725E-4</v>
      </c>
      <c r="AU28" s="17">
        <v>8.7763158798818725E-4</v>
      </c>
      <c r="AV28" s="17">
        <v>2.5134867488038427E-2</v>
      </c>
      <c r="AW28" s="17">
        <v>1.4304432947323474E-2</v>
      </c>
      <c r="AX28" s="17">
        <v>1.2684957925290053E-4</v>
      </c>
      <c r="AY28" s="17">
        <v>0</v>
      </c>
      <c r="AZ28" s="17">
        <v>1.1003713847161719E-6</v>
      </c>
      <c r="BA28" s="17">
        <v>8.8240913143124947E-4</v>
      </c>
      <c r="BB28" s="17">
        <v>2.5801192735574953E-3</v>
      </c>
      <c r="BC28" s="17">
        <v>2.5289398202635888E-2</v>
      </c>
      <c r="BD28" s="17">
        <v>1.458777292952664E-2</v>
      </c>
      <c r="BE28" s="17">
        <v>9.0293715821426626E-5</v>
      </c>
      <c r="BF28" s="17">
        <v>0</v>
      </c>
      <c r="BG28" s="17">
        <v>1.1207918263871516E-6</v>
      </c>
      <c r="BH28" s="17">
        <v>8.9870373435357821E-4</v>
      </c>
      <c r="BI28" s="17">
        <v>2.6277638610366339E-3</v>
      </c>
      <c r="BJ28" s="17">
        <v>2.5756393258759374E-2</v>
      </c>
      <c r="BK28" s="17">
        <v>1.4857151337955151E-2</v>
      </c>
      <c r="BL28" s="17">
        <v>9.1961083251436489E-5</v>
      </c>
      <c r="BM28" s="17">
        <v>0</v>
      </c>
      <c r="BN28" s="17">
        <v>1.141488413853272E-6</v>
      </c>
      <c r="BO28" s="17">
        <v>9.4820085051310423E-4</v>
      </c>
      <c r="BP28" s="17">
        <v>2.7724909029945605E-3</v>
      </c>
      <c r="BQ28" s="17">
        <v>2.7174955505967841E-2</v>
      </c>
      <c r="BR28" s="17">
        <v>1.5675425611738351E-2</v>
      </c>
      <c r="BS28" s="17">
        <v>9.7025943055458852E-5</v>
      </c>
      <c r="BT28" s="17">
        <v>0</v>
      </c>
      <c r="BU28" s="17">
        <v>1.2043571685445928E-6</v>
      </c>
    </row>
    <row r="29" spans="1:73" x14ac:dyDescent="0.25">
      <c r="A29" s="172">
        <v>264</v>
      </c>
      <c r="B29" t="s">
        <v>494</v>
      </c>
      <c r="C29" s="238">
        <v>2</v>
      </c>
      <c r="D29" s="238">
        <v>2</v>
      </c>
      <c r="E29" s="177" t="s">
        <v>601</v>
      </c>
      <c r="F29" s="177" t="s">
        <v>601</v>
      </c>
      <c r="G29" s="172" t="s">
        <v>424</v>
      </c>
      <c r="H29" s="172" t="s">
        <v>195</v>
      </c>
      <c r="I29" t="s">
        <v>495</v>
      </c>
      <c r="J29" t="s">
        <v>496</v>
      </c>
      <c r="K29">
        <v>120000</v>
      </c>
      <c r="L29" t="s">
        <v>497</v>
      </c>
      <c r="M29" s="198"/>
      <c r="N29" s="198"/>
      <c r="O29" s="198"/>
      <c r="P29" s="198"/>
      <c r="Q29" s="199"/>
      <c r="R29" s="189"/>
      <c r="S29" s="172"/>
      <c r="T29" s="172"/>
      <c r="U29" s="172"/>
      <c r="V29" s="172"/>
      <c r="W29" s="219" t="s">
        <v>498</v>
      </c>
      <c r="X29" s="219" t="s">
        <v>498</v>
      </c>
      <c r="Y29" s="172"/>
      <c r="AA29" s="187" t="s">
        <v>501</v>
      </c>
      <c r="AB29" s="239" t="s">
        <v>500</v>
      </c>
      <c r="AC29" s="240">
        <v>64.671958000000004</v>
      </c>
      <c r="AD29" s="240">
        <v>-147.077078</v>
      </c>
      <c r="AE29" s="241">
        <v>64.671958000000004</v>
      </c>
      <c r="AF29" s="241">
        <v>-147.077078</v>
      </c>
      <c r="AG29" s="239">
        <v>27</v>
      </c>
      <c r="AH29" s="239">
        <v>570</v>
      </c>
      <c r="AI29" s="239">
        <v>7</v>
      </c>
      <c r="AJ29" s="239"/>
      <c r="AK29" s="239">
        <v>114</v>
      </c>
      <c r="AL29" s="239">
        <v>6</v>
      </c>
      <c r="AM29" s="239">
        <v>1</v>
      </c>
      <c r="AN29" s="239">
        <v>462</v>
      </c>
      <c r="AO29" s="239">
        <v>47000</v>
      </c>
      <c r="AP29" s="239">
        <v>48</v>
      </c>
      <c r="AQ29" s="242"/>
      <c r="AR29" s="242"/>
      <c r="AS29" s="243">
        <v>10100224</v>
      </c>
      <c r="AT29" s="17">
        <v>1.6862302614387261E-3</v>
      </c>
      <c r="AU29" s="17">
        <v>1.6862302614387261E-3</v>
      </c>
      <c r="AV29" s="17">
        <v>4.69179711721096E-2</v>
      </c>
      <c r="AW29" s="17">
        <v>2.7593844959952398E-2</v>
      </c>
      <c r="AX29" s="17">
        <v>2.261168620637619E-4</v>
      </c>
      <c r="AY29" s="17">
        <v>0</v>
      </c>
      <c r="AZ29" s="17">
        <v>2.0955476902846667E-6</v>
      </c>
      <c r="BA29" s="17">
        <v>1.6804602908988002E-3</v>
      </c>
      <c r="BB29" s="17">
        <v>4.9135801416327939E-3</v>
      </c>
      <c r="BC29" s="17">
        <v>4.8161271000900854E-2</v>
      </c>
      <c r="BD29" s="17">
        <v>2.7780960404338178E-2</v>
      </c>
      <c r="BE29" s="17">
        <v>1.719553873037297E-4</v>
      </c>
      <c r="BF29" s="17">
        <v>0</v>
      </c>
      <c r="BG29" s="17">
        <v>2.1344363872942252E-6</v>
      </c>
      <c r="BH29" s="17">
        <v>1.7114917390010237E-3</v>
      </c>
      <c r="BI29" s="17">
        <v>5.0043145124400003E-3</v>
      </c>
      <c r="BJ29" s="17">
        <v>4.9050618990672298E-2</v>
      </c>
      <c r="BK29" s="17">
        <v>2.8293964749448921E-2</v>
      </c>
      <c r="BL29" s="17">
        <v>1.7513072248178353E-4</v>
      </c>
      <c r="BM29" s="17">
        <v>0</v>
      </c>
      <c r="BN29" s="17">
        <v>2.173850976462763E-6</v>
      </c>
      <c r="BO29" s="17">
        <v>1.8057540661430569E-3</v>
      </c>
      <c r="BP29" s="17">
        <v>5.2799327470734762E-3</v>
      </c>
      <c r="BQ29" s="17">
        <v>5.1752136846970408E-2</v>
      </c>
      <c r="BR29" s="17">
        <v>2.9852286592658293E-2</v>
      </c>
      <c r="BS29" s="17">
        <v>1.8477624344984497E-4</v>
      </c>
      <c r="BT29" s="17">
        <v>0</v>
      </c>
      <c r="BU29" s="17">
        <v>2.2935782571921254E-6</v>
      </c>
    </row>
    <row r="30" spans="1:73" x14ac:dyDescent="0.25">
      <c r="A30" s="172">
        <v>264</v>
      </c>
      <c r="B30" t="s">
        <v>494</v>
      </c>
      <c r="C30" s="238">
        <v>3</v>
      </c>
      <c r="D30" s="238">
        <v>3</v>
      </c>
      <c r="E30" s="177" t="s">
        <v>602</v>
      </c>
      <c r="F30" s="177" t="s">
        <v>602</v>
      </c>
      <c r="G30" s="172" t="s">
        <v>424</v>
      </c>
      <c r="H30" s="172" t="s">
        <v>195</v>
      </c>
      <c r="I30" t="s">
        <v>495</v>
      </c>
      <c r="J30" t="s">
        <v>496</v>
      </c>
      <c r="K30">
        <v>120000</v>
      </c>
      <c r="L30" t="s">
        <v>497</v>
      </c>
      <c r="M30" s="198"/>
      <c r="N30" s="198"/>
      <c r="O30" s="198"/>
      <c r="P30" s="198"/>
      <c r="Q30" s="199"/>
      <c r="R30" s="189"/>
      <c r="S30" s="172"/>
      <c r="T30" s="172"/>
      <c r="U30" s="172"/>
      <c r="V30" s="172"/>
      <c r="W30" s="219" t="s">
        <v>498</v>
      </c>
      <c r="X30" s="219" t="s">
        <v>498</v>
      </c>
      <c r="Y30" s="172"/>
      <c r="AA30" s="187" t="s">
        <v>502</v>
      </c>
      <c r="AB30" s="239" t="s">
        <v>500</v>
      </c>
      <c r="AC30" s="240">
        <v>64.671853999999996</v>
      </c>
      <c r="AD30" s="240">
        <v>-147.07699299999999</v>
      </c>
      <c r="AE30" s="241">
        <v>64.671853999999996</v>
      </c>
      <c r="AF30" s="241">
        <v>-147.07699299999999</v>
      </c>
      <c r="AG30" s="239">
        <v>27</v>
      </c>
      <c r="AH30" s="239">
        <v>570</v>
      </c>
      <c r="AI30" s="239">
        <v>7</v>
      </c>
      <c r="AJ30" s="239"/>
      <c r="AK30" s="239">
        <v>114</v>
      </c>
      <c r="AL30" s="239">
        <v>6</v>
      </c>
      <c r="AM30" s="239">
        <v>1</v>
      </c>
      <c r="AN30" s="239">
        <v>430.33</v>
      </c>
      <c r="AO30" s="239">
        <v>78600</v>
      </c>
      <c r="AP30" s="239">
        <v>48</v>
      </c>
      <c r="AQ30" s="242"/>
      <c r="AR30" s="242"/>
      <c r="AS30" s="243">
        <v>10100224</v>
      </c>
      <c r="AT30" s="17">
        <v>8.155737154709609E-4</v>
      </c>
      <c r="AU30" s="17">
        <v>8.155737154709609E-4</v>
      </c>
      <c r="AV30" s="17">
        <v>2.2003728666104186E-2</v>
      </c>
      <c r="AW30" s="17">
        <v>1.3401425379401597E-2</v>
      </c>
      <c r="AX30" s="17">
        <v>1.0054270596319081E-4</v>
      </c>
      <c r="AY30" s="17">
        <v>0</v>
      </c>
      <c r="AZ30" s="17">
        <v>1.0042046141632299E-6</v>
      </c>
      <c r="BA30" s="17">
        <v>8.0529113503946016E-4</v>
      </c>
      <c r="BB30" s="17">
        <v>2.3546301872128636E-3</v>
      </c>
      <c r="BC30" s="17">
        <v>2.3079350965275157E-2</v>
      </c>
      <c r="BD30" s="17">
        <v>1.3312876988322153E-2</v>
      </c>
      <c r="BE30" s="17">
        <v>8.2402511840316727E-5</v>
      </c>
      <c r="BF30" s="17">
        <v>0</v>
      </c>
      <c r="BG30" s="17">
        <v>1.0228404147975205E-6</v>
      </c>
      <c r="BH30" s="17">
        <v>8.2016167390282853E-4</v>
      </c>
      <c r="BI30" s="17">
        <v>2.3981108840494098E-3</v>
      </c>
      <c r="BJ30" s="17">
        <v>2.3505535199196508E-2</v>
      </c>
      <c r="BK30" s="17">
        <v>1.3558713116430513E-2</v>
      </c>
      <c r="BL30" s="17">
        <v>8.3924159976553263E-5</v>
      </c>
      <c r="BM30" s="17">
        <v>0</v>
      </c>
      <c r="BN30" s="17">
        <v>1.0417282275120182E-6</v>
      </c>
      <c r="BO30" s="17">
        <v>8.6533299798991457E-4</v>
      </c>
      <c r="BP30" s="17">
        <v>2.5301895307199909E-3</v>
      </c>
      <c r="BQ30" s="17">
        <v>2.4800128914202389E-2</v>
      </c>
      <c r="BR30" s="17">
        <v>1.4305474448829309E-2</v>
      </c>
      <c r="BS30" s="17">
        <v>8.8546377216963437E-5</v>
      </c>
      <c r="BT30" s="17">
        <v>0</v>
      </c>
      <c r="BU30" s="17">
        <v>1.0991025780491366E-6</v>
      </c>
    </row>
    <row r="31" spans="1:73" x14ac:dyDescent="0.25">
      <c r="A31" s="172">
        <v>264</v>
      </c>
      <c r="B31" t="s">
        <v>494</v>
      </c>
      <c r="C31" s="238">
        <v>4</v>
      </c>
      <c r="D31" s="238">
        <v>4</v>
      </c>
      <c r="E31" s="177" t="s">
        <v>603</v>
      </c>
      <c r="F31" s="177" t="s">
        <v>603</v>
      </c>
      <c r="G31" s="172" t="s">
        <v>424</v>
      </c>
      <c r="H31" s="172" t="s">
        <v>195</v>
      </c>
      <c r="I31" t="s">
        <v>495</v>
      </c>
      <c r="J31" t="s">
        <v>496</v>
      </c>
      <c r="K31">
        <v>120000</v>
      </c>
      <c r="L31" t="s">
        <v>497</v>
      </c>
      <c r="M31" s="198"/>
      <c r="N31" s="198"/>
      <c r="O31" s="198"/>
      <c r="P31" s="198"/>
      <c r="Q31" s="199"/>
      <c r="R31" s="189"/>
      <c r="S31" s="172"/>
      <c r="T31" s="172"/>
      <c r="U31" s="172"/>
      <c r="V31" s="172"/>
      <c r="W31" s="219" t="s">
        <v>498</v>
      </c>
      <c r="X31" s="219" t="s">
        <v>498</v>
      </c>
      <c r="Y31" s="172"/>
      <c r="AA31" s="187" t="s">
        <v>503</v>
      </c>
      <c r="AB31" s="239" t="s">
        <v>500</v>
      </c>
      <c r="AC31" s="240">
        <v>64.671741999999995</v>
      </c>
      <c r="AD31" s="240">
        <v>-147.076896</v>
      </c>
      <c r="AE31" s="241">
        <v>64.671741999999995</v>
      </c>
      <c r="AF31" s="241">
        <v>-147.076896</v>
      </c>
      <c r="AG31" s="239">
        <v>27</v>
      </c>
      <c r="AH31" s="239">
        <v>570</v>
      </c>
      <c r="AI31" s="239">
        <v>7</v>
      </c>
      <c r="AJ31" s="239"/>
      <c r="AK31" s="239">
        <v>114</v>
      </c>
      <c r="AL31" s="239">
        <v>6</v>
      </c>
      <c r="AM31" s="239">
        <v>1</v>
      </c>
      <c r="AN31" s="239">
        <v>440.33</v>
      </c>
      <c r="AO31" s="239">
        <v>46000</v>
      </c>
      <c r="AP31" s="239">
        <v>48</v>
      </c>
      <c r="AQ31" s="242"/>
      <c r="AR31" s="242"/>
      <c r="AS31" s="243">
        <v>10100224</v>
      </c>
      <c r="AT31" s="17">
        <v>8.6919269707407692E-4</v>
      </c>
      <c r="AU31" s="17">
        <v>8.6919269707407692E-4</v>
      </c>
      <c r="AV31" s="17">
        <v>0</v>
      </c>
      <c r="AW31" s="17">
        <v>1.4160269998054368E-2</v>
      </c>
      <c r="AX31" s="17">
        <v>1.2668770545298544E-4</v>
      </c>
      <c r="AY31" s="17">
        <v>0</v>
      </c>
      <c r="AZ31" s="17">
        <v>1.0909109170446294E-6</v>
      </c>
      <c r="BA31" s="17">
        <v>8.7482259912322112E-4</v>
      </c>
      <c r="BB31" s="17">
        <v>2.5579366402072924E-3</v>
      </c>
      <c r="BC31" s="17">
        <v>0</v>
      </c>
      <c r="BD31" s="17">
        <v>1.4462354224427191E-2</v>
      </c>
      <c r="BE31" s="17">
        <v>8.9517413573533876E-5</v>
      </c>
      <c r="BF31" s="17">
        <v>0</v>
      </c>
      <c r="BG31" s="17">
        <v>1.1111557935101248E-6</v>
      </c>
      <c r="BH31" s="17">
        <v>8.9097710883128756E-4</v>
      </c>
      <c r="BI31" s="17">
        <v>2.6051716022764729E-3</v>
      </c>
      <c r="BJ31" s="17">
        <v>0</v>
      </c>
      <c r="BK31" s="17">
        <v>1.4729416645944604E-2</v>
      </c>
      <c r="BL31" s="17">
        <v>9.1170445774649842E-5</v>
      </c>
      <c r="BM31" s="17">
        <v>0</v>
      </c>
      <c r="BN31" s="17">
        <v>1.1316744416010908E-6</v>
      </c>
      <c r="BO31" s="17">
        <v>9.4004867242395687E-4</v>
      </c>
      <c r="BP31" s="17">
        <v>2.7486543502436081E-3</v>
      </c>
      <c r="BQ31" s="17">
        <v>0</v>
      </c>
      <c r="BR31" s="17">
        <v>1.5540655788297544E-2</v>
      </c>
      <c r="BS31" s="17">
        <v>9.6191760332855732E-5</v>
      </c>
      <c r="BT31" s="17">
        <v>0</v>
      </c>
      <c r="BU31" s="17">
        <v>1.1940026807632285E-6</v>
      </c>
    </row>
    <row r="32" spans="1:73" x14ac:dyDescent="0.25">
      <c r="A32" s="172">
        <v>264</v>
      </c>
      <c r="B32" t="s">
        <v>494</v>
      </c>
      <c r="C32" s="238">
        <v>5</v>
      </c>
      <c r="D32" s="238">
        <v>5</v>
      </c>
      <c r="E32" s="177" t="s">
        <v>604</v>
      </c>
      <c r="F32" s="177" t="s">
        <v>604</v>
      </c>
      <c r="G32" s="172" t="s">
        <v>424</v>
      </c>
      <c r="H32" s="172" t="s">
        <v>195</v>
      </c>
      <c r="I32" t="s">
        <v>495</v>
      </c>
      <c r="J32" t="s">
        <v>504</v>
      </c>
      <c r="K32">
        <v>120000</v>
      </c>
      <c r="L32" t="s">
        <v>497</v>
      </c>
      <c r="M32" s="198"/>
      <c r="N32" s="198"/>
      <c r="O32" s="198"/>
      <c r="P32" s="198"/>
      <c r="Q32" s="199"/>
      <c r="R32" s="189"/>
      <c r="S32" s="172"/>
      <c r="T32" s="172"/>
      <c r="U32" s="172"/>
      <c r="V32" s="172"/>
      <c r="W32" s="219" t="s">
        <v>498</v>
      </c>
      <c r="X32" s="219" t="s">
        <v>498</v>
      </c>
      <c r="Y32" s="172"/>
      <c r="AA32" s="187" t="s">
        <v>505</v>
      </c>
      <c r="AB32" s="239" t="s">
        <v>500</v>
      </c>
      <c r="AC32" s="240">
        <v>64.671941000000004</v>
      </c>
      <c r="AD32" s="240">
        <v>-147.076436</v>
      </c>
      <c r="AE32" s="241">
        <v>64.671941000000004</v>
      </c>
      <c r="AF32" s="241">
        <v>-147.076436</v>
      </c>
      <c r="AG32" s="239">
        <v>27</v>
      </c>
      <c r="AH32" s="239">
        <v>570</v>
      </c>
      <c r="AI32" s="239">
        <v>7</v>
      </c>
      <c r="AJ32" s="239"/>
      <c r="AK32" s="239">
        <v>114</v>
      </c>
      <c r="AL32" s="239">
        <v>6</v>
      </c>
      <c r="AM32" s="239"/>
      <c r="AN32" s="239">
        <v>413.33</v>
      </c>
      <c r="AO32" s="239">
        <v>78600</v>
      </c>
      <c r="AP32" s="239">
        <v>48</v>
      </c>
      <c r="AQ32" s="242"/>
      <c r="AR32" s="242"/>
      <c r="AS32" s="243">
        <v>10100224</v>
      </c>
      <c r="AT32" s="17">
        <v>1.5516485114808148E-3</v>
      </c>
      <c r="AU32" s="17">
        <v>1.5516485114808148E-3</v>
      </c>
      <c r="AV32" s="17">
        <v>4.3284641829309058E-2</v>
      </c>
      <c r="AW32" s="17">
        <v>2.5382612197030061E-2</v>
      </c>
      <c r="AX32" s="17">
        <v>2.0949369242222432E-4</v>
      </c>
      <c r="AY32" s="17">
        <v>0</v>
      </c>
      <c r="AZ32" s="17">
        <v>1.9298050200192994E-6</v>
      </c>
      <c r="BA32" s="17">
        <v>1.5475480326000411E-3</v>
      </c>
      <c r="BB32" s="17">
        <v>4.524951480489571E-3</v>
      </c>
      <c r="BC32" s="17">
        <v>4.4352171518010582E-2</v>
      </c>
      <c r="BD32" s="17">
        <v>2.5583687308956625E-2</v>
      </c>
      <c r="BE32" s="17">
        <v>1.5835495950608598E-4</v>
      </c>
      <c r="BF32" s="17">
        <v>0</v>
      </c>
      <c r="BG32" s="17">
        <v>1.965617902283439E-6</v>
      </c>
      <c r="BH32" s="17">
        <v>1.5761251175329088E-3</v>
      </c>
      <c r="BI32" s="17">
        <v>4.608509418628527E-3</v>
      </c>
      <c r="BJ32" s="17">
        <v>4.5171180521755581E-2</v>
      </c>
      <c r="BK32" s="17">
        <v>2.6056116719690742E-2</v>
      </c>
      <c r="BL32" s="17">
        <v>1.6127914863108732E-4</v>
      </c>
      <c r="BM32" s="17">
        <v>0</v>
      </c>
      <c r="BN32" s="17">
        <v>2.0019150824392917E-6</v>
      </c>
      <c r="BO32" s="17">
        <v>1.6629319761697957E-3</v>
      </c>
      <c r="BP32" s="17">
        <v>4.8623282437836278E-3</v>
      </c>
      <c r="BQ32" s="17">
        <v>4.7659033953183105E-2</v>
      </c>
      <c r="BR32" s="17">
        <v>2.7491186572681129E-2</v>
      </c>
      <c r="BS32" s="17">
        <v>1.7016177863333646E-4</v>
      </c>
      <c r="BT32" s="17">
        <v>0</v>
      </c>
      <c r="BU32" s="17">
        <v>2.1121728009612671E-6</v>
      </c>
    </row>
    <row r="33" spans="1:73" x14ac:dyDescent="0.25">
      <c r="A33" s="172">
        <v>264</v>
      </c>
      <c r="B33" t="s">
        <v>494</v>
      </c>
      <c r="C33" s="238">
        <v>6</v>
      </c>
      <c r="D33" s="238">
        <v>6</v>
      </c>
      <c r="E33" s="177" t="s">
        <v>605</v>
      </c>
      <c r="F33" s="177" t="s">
        <v>605</v>
      </c>
      <c r="G33" s="172" t="s">
        <v>424</v>
      </c>
      <c r="H33" s="172" t="s">
        <v>195</v>
      </c>
      <c r="I33" t="s">
        <v>495</v>
      </c>
      <c r="J33" t="s">
        <v>504</v>
      </c>
      <c r="K33">
        <v>120000</v>
      </c>
      <c r="L33" t="s">
        <v>497</v>
      </c>
      <c r="M33" s="198"/>
      <c r="N33" s="198"/>
      <c r="O33" s="198"/>
      <c r="P33" s="198"/>
      <c r="Q33" s="199"/>
      <c r="R33" s="189"/>
      <c r="S33" s="172"/>
      <c r="T33" s="172"/>
      <c r="U33" s="172"/>
      <c r="V33" s="172"/>
      <c r="W33" s="219" t="s">
        <v>498</v>
      </c>
      <c r="X33" s="219" t="s">
        <v>498</v>
      </c>
      <c r="Y33" s="172"/>
      <c r="AA33" s="187" t="s">
        <v>506</v>
      </c>
      <c r="AB33" s="239" t="s">
        <v>500</v>
      </c>
      <c r="AC33" s="240">
        <v>64.671835999999999</v>
      </c>
      <c r="AD33" s="240">
        <v>-147.076347</v>
      </c>
      <c r="AE33" s="241">
        <v>64.671835999999999</v>
      </c>
      <c r="AF33" s="241">
        <v>-147.076347</v>
      </c>
      <c r="AG33" s="239">
        <v>27</v>
      </c>
      <c r="AH33" s="239">
        <v>570</v>
      </c>
      <c r="AI33" s="239"/>
      <c r="AJ33" s="239"/>
      <c r="AK33" s="239">
        <v>114</v>
      </c>
      <c r="AL33" s="239">
        <v>6</v>
      </c>
      <c r="AM33" s="239"/>
      <c r="AN33" s="239">
        <v>462</v>
      </c>
      <c r="AO33" s="239">
        <v>81430.100000000006</v>
      </c>
      <c r="AP33" s="239">
        <v>48</v>
      </c>
      <c r="AQ33" s="187"/>
      <c r="AR33" s="187"/>
      <c r="AS33" s="243">
        <v>10100224</v>
      </c>
      <c r="AT33" s="17">
        <v>1.5417966824116456E-3</v>
      </c>
      <c r="AU33" s="17">
        <v>1.5417966824116456E-3</v>
      </c>
      <c r="AV33" s="17">
        <v>4.3003969851525527E-2</v>
      </c>
      <c r="AW33" s="17">
        <v>2.5221928614323832E-2</v>
      </c>
      <c r="AX33" s="17">
        <v>2.0808725896297197E-4</v>
      </c>
      <c r="AY33" s="17">
        <v>0</v>
      </c>
      <c r="AZ33" s="17">
        <v>1.9174713764339365E-6</v>
      </c>
      <c r="BA33" s="17">
        <v>1.5376574448632931E-3</v>
      </c>
      <c r="BB33" s="17">
        <v>4.4960319066349756E-3</v>
      </c>
      <c r="BC33" s="17">
        <v>4.4068824460100513E-2</v>
      </c>
      <c r="BD33" s="17">
        <v>2.5420178520454823E-2</v>
      </c>
      <c r="BE33" s="17">
        <v>1.5734289164935346E-4</v>
      </c>
      <c r="BF33" s="17">
        <v>0</v>
      </c>
      <c r="BG33" s="17">
        <v>1.9530553737480273E-6</v>
      </c>
      <c r="BH33" s="17">
        <v>1.5660518898006097E-3</v>
      </c>
      <c r="BI33" s="17">
        <v>4.5790558147465231E-3</v>
      </c>
      <c r="BJ33" s="17">
        <v>4.4882601165546016E-2</v>
      </c>
      <c r="BK33" s="17">
        <v>2.5889588571248026E-2</v>
      </c>
      <c r="BL33" s="17">
        <v>1.6024839188813581E-4</v>
      </c>
      <c r="BM33" s="17">
        <v>0</v>
      </c>
      <c r="BN33" s="17">
        <v>1.9891205737408317E-6</v>
      </c>
      <c r="BO33" s="17">
        <v>1.6523039541219641E-3</v>
      </c>
      <c r="BP33" s="17">
        <v>4.831252449632532E-3</v>
      </c>
      <c r="BQ33" s="17">
        <v>4.7354560765258423E-2</v>
      </c>
      <c r="BR33" s="17">
        <v>2.7315486699684241E-2</v>
      </c>
      <c r="BS33" s="17">
        <v>1.6907425180666568E-4</v>
      </c>
      <c r="BT33" s="17">
        <v>0</v>
      </c>
      <c r="BU33" s="17">
        <v>2.0986736203458634E-6</v>
      </c>
    </row>
    <row r="34" spans="1:73" x14ac:dyDescent="0.25">
      <c r="A34" s="172">
        <v>264</v>
      </c>
      <c r="B34" t="s">
        <v>494</v>
      </c>
      <c r="C34" s="238">
        <v>9</v>
      </c>
      <c r="D34" s="238">
        <v>9</v>
      </c>
      <c r="E34" s="177" t="s">
        <v>606</v>
      </c>
      <c r="F34" s="177" t="s">
        <v>606</v>
      </c>
      <c r="G34" s="172" t="s">
        <v>424</v>
      </c>
      <c r="H34" s="172" t="s">
        <v>507</v>
      </c>
      <c r="I34" t="s">
        <v>495</v>
      </c>
      <c r="K34">
        <v>5.4</v>
      </c>
      <c r="L34" t="s">
        <v>508</v>
      </c>
      <c r="M34" s="198"/>
      <c r="N34" s="198"/>
      <c r="O34" s="198"/>
      <c r="P34" s="198"/>
      <c r="Q34" s="199"/>
      <c r="R34" s="189"/>
      <c r="S34" s="172"/>
      <c r="T34" s="172"/>
      <c r="U34" s="172"/>
      <c r="V34" s="172"/>
      <c r="W34" s="219" t="s">
        <v>509</v>
      </c>
      <c r="X34" s="219" t="s">
        <v>509</v>
      </c>
      <c r="Y34" s="172"/>
      <c r="AA34" s="187" t="s">
        <v>510</v>
      </c>
      <c r="AB34" s="239" t="s">
        <v>511</v>
      </c>
      <c r="AC34" s="240">
        <v>64.646557999999999</v>
      </c>
      <c r="AD34" s="240">
        <v>-147.076292</v>
      </c>
      <c r="AE34" s="241">
        <v>64.646557999999999</v>
      </c>
      <c r="AF34" s="241">
        <v>-147.076292</v>
      </c>
      <c r="AG34" s="239">
        <v>27</v>
      </c>
      <c r="AH34" s="239">
        <v>570</v>
      </c>
      <c r="AI34" s="239">
        <v>7</v>
      </c>
      <c r="AJ34" s="239"/>
      <c r="AK34" s="239">
        <v>50</v>
      </c>
      <c r="AL34" s="239">
        <v>2.5</v>
      </c>
      <c r="AM34" s="239" t="s">
        <v>512</v>
      </c>
      <c r="AN34" s="239">
        <v>400</v>
      </c>
      <c r="AO34" s="239">
        <v>1500</v>
      </c>
      <c r="AP34" s="239">
        <v>14</v>
      </c>
      <c r="AQ34" s="244">
        <v>8.3956204379562038E-3</v>
      </c>
      <c r="AR34" s="244">
        <v>9.8540145985401475E-3</v>
      </c>
      <c r="AS34" s="243">
        <v>10500105</v>
      </c>
      <c r="AT34" s="17">
        <v>8.5104949818634053E-5</v>
      </c>
      <c r="AU34" s="17">
        <v>8.5104949818634053E-5</v>
      </c>
      <c r="AV34" s="17">
        <v>8.8094352683322814E-5</v>
      </c>
      <c r="AW34" s="17">
        <v>0</v>
      </c>
      <c r="AX34" s="17">
        <v>0</v>
      </c>
      <c r="AY34" s="17">
        <v>0</v>
      </c>
      <c r="AZ34" s="17">
        <v>0</v>
      </c>
      <c r="BA34" s="17">
        <v>8.4871697226597144E-5</v>
      </c>
      <c r="BB34" s="17">
        <v>2.481605119370194E-4</v>
      </c>
      <c r="BC34" s="17">
        <v>9.0299276877170426E-5</v>
      </c>
      <c r="BD34" s="17">
        <v>0</v>
      </c>
      <c r="BE34" s="17">
        <v>0</v>
      </c>
      <c r="BF34" s="17">
        <v>0</v>
      </c>
      <c r="BG34" s="17">
        <v>0</v>
      </c>
      <c r="BH34" s="17">
        <v>8.6438941440636943E-5</v>
      </c>
      <c r="BI34" s="17">
        <v>2.5274305404700053E-4</v>
      </c>
      <c r="BJ34" s="17">
        <v>9.1966746997861916E-5</v>
      </c>
      <c r="BK34" s="17">
        <v>0</v>
      </c>
      <c r="BL34" s="17">
        <v>0</v>
      </c>
      <c r="BM34" s="17">
        <v>0</v>
      </c>
      <c r="BN34" s="17">
        <v>0</v>
      </c>
      <c r="BO34" s="17">
        <v>9.1199663090771329E-5</v>
      </c>
      <c r="BP34" s="17">
        <v>2.6666316122634379E-4</v>
      </c>
      <c r="BQ34" s="17">
        <v>9.7031918739071122E-5</v>
      </c>
      <c r="BR34" s="17">
        <v>0</v>
      </c>
      <c r="BS34" s="17">
        <v>0</v>
      </c>
      <c r="BT34" s="17">
        <v>0</v>
      </c>
      <c r="BU34" s="17">
        <v>0</v>
      </c>
    </row>
    <row r="35" spans="1:73" x14ac:dyDescent="0.25">
      <c r="A35" s="172">
        <v>264</v>
      </c>
      <c r="B35" t="s">
        <v>494</v>
      </c>
      <c r="C35" s="238">
        <v>10</v>
      </c>
      <c r="D35" s="238">
        <v>10</v>
      </c>
      <c r="E35" s="177" t="s">
        <v>607</v>
      </c>
      <c r="F35" s="177" t="s">
        <v>607</v>
      </c>
      <c r="G35" s="172" t="s">
        <v>424</v>
      </c>
      <c r="H35" s="172" t="s">
        <v>507</v>
      </c>
      <c r="I35" t="s">
        <v>495</v>
      </c>
      <c r="K35">
        <v>3.3</v>
      </c>
      <c r="L35" t="s">
        <v>508</v>
      </c>
      <c r="M35" s="198"/>
      <c r="N35" s="198"/>
      <c r="O35" s="198"/>
      <c r="P35" s="198"/>
      <c r="Q35" s="199"/>
      <c r="R35" s="189"/>
      <c r="S35" s="172"/>
      <c r="T35" s="172"/>
      <c r="U35" s="172"/>
      <c r="V35" s="172"/>
      <c r="W35" s="219" t="s">
        <v>509</v>
      </c>
      <c r="X35" s="219" t="s">
        <v>509</v>
      </c>
      <c r="Y35" s="172"/>
      <c r="AA35" s="187" t="s">
        <v>513</v>
      </c>
      <c r="AB35" s="239" t="s">
        <v>500</v>
      </c>
      <c r="AC35" s="240">
        <v>64.644563000000005</v>
      </c>
      <c r="AD35" s="240">
        <v>-147.07294200000001</v>
      </c>
      <c r="AE35" s="241">
        <v>64.644563000000005</v>
      </c>
      <c r="AF35" s="241">
        <v>-147.07294200000001</v>
      </c>
      <c r="AG35" s="239">
        <v>27</v>
      </c>
      <c r="AH35" s="239">
        <v>570</v>
      </c>
      <c r="AI35" s="239">
        <v>800</v>
      </c>
      <c r="AJ35" s="239"/>
      <c r="AK35" s="239">
        <v>20</v>
      </c>
      <c r="AL35" s="239">
        <v>1</v>
      </c>
      <c r="AM35" s="239" t="s">
        <v>512</v>
      </c>
      <c r="AN35" s="239">
        <v>398</v>
      </c>
      <c r="AO35" s="239">
        <v>900</v>
      </c>
      <c r="AP35" s="239">
        <v>20</v>
      </c>
      <c r="AQ35" s="244">
        <v>5.1306569343065695E-3</v>
      </c>
      <c r="AR35" s="244">
        <v>6.0218978102189787E-3</v>
      </c>
      <c r="AS35" s="243">
        <v>10500105</v>
      </c>
      <c r="AT35" s="17">
        <v>5.2008580444720813E-5</v>
      </c>
      <c r="AU35" s="17">
        <v>5.2008580444720813E-5</v>
      </c>
      <c r="AV35" s="17">
        <v>5.3835437750919513E-5</v>
      </c>
      <c r="AW35" s="17">
        <v>0</v>
      </c>
      <c r="AX35" s="17">
        <v>0</v>
      </c>
      <c r="AY35" s="17">
        <v>0</v>
      </c>
      <c r="AZ35" s="17">
        <v>0</v>
      </c>
      <c r="BA35" s="17">
        <v>5.1866037194031588E-5</v>
      </c>
      <c r="BB35" s="17">
        <v>1.5165364618373406E-4</v>
      </c>
      <c r="BC35" s="17">
        <v>5.5182891424937495E-5</v>
      </c>
      <c r="BD35" s="17">
        <v>0</v>
      </c>
      <c r="BE35" s="17">
        <v>0</v>
      </c>
      <c r="BF35" s="17">
        <v>0</v>
      </c>
      <c r="BG35" s="17">
        <v>0</v>
      </c>
      <c r="BH35" s="17">
        <v>5.282379754705591E-5</v>
      </c>
      <c r="BI35" s="17">
        <v>1.5445408858427809E-4</v>
      </c>
      <c r="BJ35" s="17">
        <v>5.6201900943137849E-5</v>
      </c>
      <c r="BK35" s="17">
        <v>0</v>
      </c>
      <c r="BL35" s="17">
        <v>0</v>
      </c>
      <c r="BM35" s="17">
        <v>0</v>
      </c>
      <c r="BN35" s="17">
        <v>0</v>
      </c>
      <c r="BO35" s="17">
        <v>5.5733127444360244E-5</v>
      </c>
      <c r="BP35" s="17">
        <v>1.6296082074943228E-4</v>
      </c>
      <c r="BQ35" s="17">
        <v>5.929728367387682E-5</v>
      </c>
      <c r="BR35" s="17">
        <v>0</v>
      </c>
      <c r="BS35" s="17">
        <v>0</v>
      </c>
      <c r="BT35" s="17">
        <v>0</v>
      </c>
      <c r="BU35" s="17">
        <v>0</v>
      </c>
    </row>
    <row r="36" spans="1:73" x14ac:dyDescent="0.25">
      <c r="A36" s="172">
        <v>264</v>
      </c>
      <c r="B36" t="s">
        <v>494</v>
      </c>
      <c r="C36" s="238">
        <v>11</v>
      </c>
      <c r="D36" s="238">
        <v>11</v>
      </c>
      <c r="E36" s="177" t="s">
        <v>608</v>
      </c>
      <c r="F36" s="177" t="s">
        <v>608</v>
      </c>
      <c r="G36" s="172" t="s">
        <v>424</v>
      </c>
      <c r="H36" s="172" t="s">
        <v>507</v>
      </c>
      <c r="I36" t="s">
        <v>495</v>
      </c>
      <c r="K36">
        <v>2.9</v>
      </c>
      <c r="L36" t="s">
        <v>508</v>
      </c>
      <c r="M36" s="198"/>
      <c r="N36" s="198"/>
      <c r="O36" s="198"/>
      <c r="P36" s="198"/>
      <c r="Q36" s="199"/>
      <c r="R36" s="189"/>
      <c r="S36" s="172"/>
      <c r="T36" s="172"/>
      <c r="U36" s="172"/>
      <c r="V36" s="172"/>
      <c r="W36" s="219" t="s">
        <v>509</v>
      </c>
      <c r="X36" s="219" t="s">
        <v>509</v>
      </c>
      <c r="Y36" s="172"/>
      <c r="AA36" s="187" t="s">
        <v>514</v>
      </c>
      <c r="AB36" s="239" t="s">
        <v>500</v>
      </c>
      <c r="AC36" s="240">
        <v>64.644563000000005</v>
      </c>
      <c r="AD36" s="240">
        <v>-147.07294200000001</v>
      </c>
      <c r="AE36" s="241">
        <v>64.644563000000005</v>
      </c>
      <c r="AF36" s="241">
        <v>-147.07294200000001</v>
      </c>
      <c r="AG36" s="239">
        <v>27</v>
      </c>
      <c r="AH36" s="239">
        <v>570</v>
      </c>
      <c r="AI36" s="239">
        <v>800</v>
      </c>
      <c r="AJ36" s="239"/>
      <c r="AK36" s="239">
        <v>20</v>
      </c>
      <c r="AL36" s="239">
        <v>1</v>
      </c>
      <c r="AM36" s="239" t="s">
        <v>512</v>
      </c>
      <c r="AN36" s="239">
        <v>398</v>
      </c>
      <c r="AO36" s="239">
        <v>840</v>
      </c>
      <c r="AP36" s="239">
        <v>18</v>
      </c>
      <c r="AQ36" s="244">
        <v>4.5087591240875902E-3</v>
      </c>
      <c r="AR36" s="244">
        <v>5.2919708029197082E-3</v>
      </c>
      <c r="AS36" s="243">
        <v>10500105</v>
      </c>
      <c r="AT36" s="17">
        <v>4.570451008778496E-5</v>
      </c>
      <c r="AU36" s="17">
        <v>4.570451008778496E-5</v>
      </c>
      <c r="AV36" s="17">
        <v>4.7309930144747429E-5</v>
      </c>
      <c r="AW36" s="17">
        <v>0</v>
      </c>
      <c r="AX36" s="17">
        <v>0</v>
      </c>
      <c r="AY36" s="17">
        <v>0</v>
      </c>
      <c r="AZ36" s="17">
        <v>0</v>
      </c>
      <c r="BA36" s="17">
        <v>4.5579244806876239E-5</v>
      </c>
      <c r="BB36" s="17">
        <v>1.3327138604025119E-4</v>
      </c>
      <c r="BC36" s="17">
        <v>4.8494056100702636E-5</v>
      </c>
      <c r="BD36" s="17">
        <v>0</v>
      </c>
      <c r="BE36" s="17">
        <v>0</v>
      </c>
      <c r="BF36" s="17">
        <v>0</v>
      </c>
      <c r="BG36" s="17">
        <v>0</v>
      </c>
      <c r="BH36" s="17">
        <v>4.6420912995897613E-5</v>
      </c>
      <c r="BI36" s="17">
        <v>1.3573238087709287E-4</v>
      </c>
      <c r="BJ36" s="17">
        <v>4.9389549313666573E-5</v>
      </c>
      <c r="BK36" s="17">
        <v>0</v>
      </c>
      <c r="BL36" s="17">
        <v>0</v>
      </c>
      <c r="BM36" s="17">
        <v>0</v>
      </c>
      <c r="BN36" s="17">
        <v>0</v>
      </c>
      <c r="BO36" s="17">
        <v>4.8977596845043849E-5</v>
      </c>
      <c r="BP36" s="17">
        <v>1.4320799399192532E-4</v>
      </c>
      <c r="BQ36" s="17">
        <v>5.2109734137649291E-5</v>
      </c>
      <c r="BR36" s="17">
        <v>0</v>
      </c>
      <c r="BS36" s="17">
        <v>0</v>
      </c>
      <c r="BT36" s="17">
        <v>0</v>
      </c>
      <c r="BU36" s="17">
        <v>0</v>
      </c>
    </row>
    <row r="37" spans="1:73" x14ac:dyDescent="0.25">
      <c r="A37" s="172">
        <v>264</v>
      </c>
      <c r="B37" t="s">
        <v>494</v>
      </c>
      <c r="C37" s="238">
        <v>91</v>
      </c>
      <c r="D37" s="238">
        <v>91</v>
      </c>
      <c r="E37" s="177" t="s">
        <v>609</v>
      </c>
      <c r="F37" s="177" t="s">
        <v>609</v>
      </c>
      <c r="G37" s="172" t="s">
        <v>424</v>
      </c>
      <c r="H37" s="172" t="s">
        <v>507</v>
      </c>
      <c r="I37" t="s">
        <v>495</v>
      </c>
      <c r="K37">
        <v>6</v>
      </c>
      <c r="L37" t="s">
        <v>508</v>
      </c>
      <c r="M37" s="198"/>
      <c r="N37" s="198"/>
      <c r="O37" s="198"/>
      <c r="P37" s="198"/>
      <c r="Q37" s="199"/>
      <c r="R37" s="189"/>
      <c r="S37" s="172"/>
      <c r="T37" s="172"/>
      <c r="U37" s="172"/>
      <c r="V37" s="172"/>
      <c r="W37" s="219" t="s">
        <v>509</v>
      </c>
      <c r="X37" s="219" t="s">
        <v>509</v>
      </c>
      <c r="Y37" s="172"/>
      <c r="AA37" s="187" t="s">
        <v>515</v>
      </c>
      <c r="AB37" s="239" t="s">
        <v>511</v>
      </c>
      <c r="AC37" s="240">
        <v>64.64649</v>
      </c>
      <c r="AD37" s="240">
        <v>-147.076053</v>
      </c>
      <c r="AE37" s="241">
        <v>64.64649</v>
      </c>
      <c r="AF37" s="241">
        <v>-147.076053</v>
      </c>
      <c r="AG37" s="239">
        <v>27</v>
      </c>
      <c r="AH37" s="239">
        <v>570</v>
      </c>
      <c r="AI37" s="239"/>
      <c r="AJ37" s="239"/>
      <c r="AK37" s="239">
        <v>35</v>
      </c>
      <c r="AL37" s="239">
        <v>2</v>
      </c>
      <c r="AM37" s="239"/>
      <c r="AN37" s="239">
        <v>400</v>
      </c>
      <c r="AO37" s="239">
        <v>780</v>
      </c>
      <c r="AP37" s="239">
        <v>14</v>
      </c>
      <c r="AQ37" s="244">
        <v>9.3284671532846732E-3</v>
      </c>
      <c r="AR37" s="244">
        <v>1.0948905109489053E-2</v>
      </c>
      <c r="AS37" s="243">
        <v>10500105</v>
      </c>
      <c r="AT37" s="17">
        <v>9.4561055354037846E-5</v>
      </c>
      <c r="AU37" s="17">
        <v>9.4561055354037846E-5</v>
      </c>
      <c r="AV37" s="17">
        <v>9.7882614092580927E-5</v>
      </c>
      <c r="AW37" s="17">
        <v>0</v>
      </c>
      <c r="AX37" s="17">
        <v>0</v>
      </c>
      <c r="AY37" s="17">
        <v>0</v>
      </c>
      <c r="AZ37" s="17">
        <v>0</v>
      </c>
      <c r="BA37" s="17">
        <v>9.430188580733016E-5</v>
      </c>
      <c r="BB37" s="17">
        <v>2.7573390215224387E-4</v>
      </c>
      <c r="BC37" s="17">
        <v>1.0033252986352273E-4</v>
      </c>
      <c r="BD37" s="17">
        <v>0</v>
      </c>
      <c r="BE37" s="17">
        <v>0</v>
      </c>
      <c r="BF37" s="17">
        <v>0</v>
      </c>
      <c r="BG37" s="17">
        <v>0</v>
      </c>
      <c r="BH37" s="17">
        <v>9.6043268267374408E-5</v>
      </c>
      <c r="BI37" s="17">
        <v>2.8082561560777836E-4</v>
      </c>
      <c r="BJ37" s="17">
        <v>1.0218527444206883E-4</v>
      </c>
      <c r="BK37" s="17">
        <v>0</v>
      </c>
      <c r="BL37" s="17">
        <v>0</v>
      </c>
      <c r="BM37" s="17">
        <v>0</v>
      </c>
      <c r="BN37" s="17">
        <v>0</v>
      </c>
      <c r="BO37" s="17">
        <v>1.0133295898974593E-4</v>
      </c>
      <c r="BP37" s="17">
        <v>2.9629240136260415E-4</v>
      </c>
      <c r="BQ37" s="17">
        <v>1.0781324304341236E-4</v>
      </c>
      <c r="BR37" s="17">
        <v>0</v>
      </c>
      <c r="BS37" s="17">
        <v>0</v>
      </c>
      <c r="BT37" s="17">
        <v>0</v>
      </c>
      <c r="BU37" s="17">
        <v>0</v>
      </c>
    </row>
    <row r="38" spans="1:73" x14ac:dyDescent="0.25">
      <c r="A38" s="172">
        <v>264</v>
      </c>
      <c r="B38" t="s">
        <v>494</v>
      </c>
      <c r="C38" s="238">
        <v>92</v>
      </c>
      <c r="D38" s="238">
        <v>92</v>
      </c>
      <c r="E38" s="177" t="s">
        <v>610</v>
      </c>
      <c r="F38" s="177" t="s">
        <v>610</v>
      </c>
      <c r="G38" s="172" t="s">
        <v>424</v>
      </c>
      <c r="H38" s="172" t="s">
        <v>507</v>
      </c>
      <c r="I38" t="s">
        <v>495</v>
      </c>
      <c r="K38">
        <v>5</v>
      </c>
      <c r="L38" t="s">
        <v>508</v>
      </c>
      <c r="M38" s="198"/>
      <c r="N38" s="198"/>
      <c r="O38" s="198"/>
      <c r="P38" s="198"/>
      <c r="Q38" s="199"/>
      <c r="R38" s="189"/>
      <c r="S38" s="172"/>
      <c r="T38" s="172"/>
      <c r="U38" s="172"/>
      <c r="V38" s="172"/>
      <c r="W38" s="219" t="s">
        <v>509</v>
      </c>
      <c r="X38" s="219" t="s">
        <v>509</v>
      </c>
      <c r="Y38" s="172"/>
      <c r="AA38" s="187" t="s">
        <v>516</v>
      </c>
      <c r="AB38" s="239" t="s">
        <v>500</v>
      </c>
      <c r="AC38" s="240">
        <v>64.695797999999996</v>
      </c>
      <c r="AD38" s="240">
        <v>-147.11653999999999</v>
      </c>
      <c r="AE38" s="241">
        <v>64.695797999999996</v>
      </c>
      <c r="AF38" s="241">
        <v>-147.11653999999999</v>
      </c>
      <c r="AG38" s="239">
        <v>27</v>
      </c>
      <c r="AH38" s="239">
        <v>570</v>
      </c>
      <c r="AI38" s="239">
        <v>7</v>
      </c>
      <c r="AJ38" s="239"/>
      <c r="AK38" s="239">
        <v>7</v>
      </c>
      <c r="AL38" s="239">
        <v>1</v>
      </c>
      <c r="AM38" s="239"/>
      <c r="AN38" s="239">
        <v>400</v>
      </c>
      <c r="AO38" s="239"/>
      <c r="AP38" s="239"/>
      <c r="AQ38" s="244">
        <v>7.7737226277372271E-3</v>
      </c>
      <c r="AR38" s="244">
        <v>9.1240875912408769E-3</v>
      </c>
      <c r="AS38" s="243">
        <v>10500105</v>
      </c>
      <c r="AT38" s="17">
        <v>7.8800879461698214E-5</v>
      </c>
      <c r="AU38" s="17">
        <v>7.8800879461698214E-5</v>
      </c>
      <c r="AV38" s="17">
        <v>8.1568845077150756E-5</v>
      </c>
      <c r="AW38" s="17">
        <v>0</v>
      </c>
      <c r="AX38" s="17">
        <v>0</v>
      </c>
      <c r="AY38" s="17">
        <v>0</v>
      </c>
      <c r="AZ38" s="17">
        <v>0</v>
      </c>
      <c r="BA38" s="17">
        <v>7.8584904839441782E-5</v>
      </c>
      <c r="BB38" s="17">
        <v>2.2977825179353644E-4</v>
      </c>
      <c r="BC38" s="17">
        <v>8.3610441552935594E-5</v>
      </c>
      <c r="BD38" s="17">
        <v>0</v>
      </c>
      <c r="BE38" s="17">
        <v>0</v>
      </c>
      <c r="BF38" s="17">
        <v>0</v>
      </c>
      <c r="BG38" s="17">
        <v>0</v>
      </c>
      <c r="BH38" s="17">
        <v>8.0036056889478646E-5</v>
      </c>
      <c r="BI38" s="17">
        <v>2.3402134633981528E-4</v>
      </c>
      <c r="BJ38" s="17">
        <v>8.515439536839066E-5</v>
      </c>
      <c r="BK38" s="17">
        <v>0</v>
      </c>
      <c r="BL38" s="17">
        <v>0</v>
      </c>
      <c r="BM38" s="17">
        <v>0</v>
      </c>
      <c r="BN38" s="17">
        <v>0</v>
      </c>
      <c r="BO38" s="17">
        <v>8.4444132491454921E-5</v>
      </c>
      <c r="BP38" s="17">
        <v>2.4691033446883683E-4</v>
      </c>
      <c r="BQ38" s="17">
        <v>8.9844369202843634E-5</v>
      </c>
      <c r="BR38" s="17">
        <v>0</v>
      </c>
      <c r="BS38" s="17">
        <v>0</v>
      </c>
      <c r="BT38" s="17">
        <v>0</v>
      </c>
      <c r="BU38" s="17">
        <v>0</v>
      </c>
    </row>
    <row r="39" spans="1:73" x14ac:dyDescent="0.25">
      <c r="A39" s="172">
        <v>264</v>
      </c>
      <c r="B39" t="s">
        <v>494</v>
      </c>
      <c r="C39" s="238">
        <v>93</v>
      </c>
      <c r="D39" s="238">
        <v>93</v>
      </c>
      <c r="E39" s="177" t="s">
        <v>611</v>
      </c>
      <c r="F39" s="177" t="s">
        <v>611</v>
      </c>
      <c r="G39" s="172" t="s">
        <v>424</v>
      </c>
      <c r="H39" s="172" t="s">
        <v>507</v>
      </c>
      <c r="I39" t="s">
        <v>495</v>
      </c>
      <c r="K39">
        <v>5</v>
      </c>
      <c r="L39" t="s">
        <v>508</v>
      </c>
      <c r="M39" s="198"/>
      <c r="N39" s="198"/>
      <c r="O39" s="198"/>
      <c r="P39" s="198"/>
      <c r="Q39" s="199"/>
      <c r="R39" s="189"/>
      <c r="S39" s="172"/>
      <c r="T39" s="172"/>
      <c r="U39" s="172"/>
      <c r="V39" s="172"/>
      <c r="W39" s="219" t="s">
        <v>509</v>
      </c>
      <c r="X39" s="219" t="s">
        <v>509</v>
      </c>
      <c r="Y39" s="172"/>
      <c r="AA39" s="187" t="s">
        <v>517</v>
      </c>
      <c r="AB39" s="239" t="s">
        <v>500</v>
      </c>
      <c r="AC39" s="240">
        <v>64.695797999999996</v>
      </c>
      <c r="AD39" s="240">
        <v>-147.11653999999999</v>
      </c>
      <c r="AE39" s="241">
        <v>64.695797999999996</v>
      </c>
      <c r="AF39" s="241">
        <v>-147.11653999999999</v>
      </c>
      <c r="AG39" s="239">
        <v>27</v>
      </c>
      <c r="AH39" s="239">
        <v>570</v>
      </c>
      <c r="AI39" s="239">
        <v>7</v>
      </c>
      <c r="AJ39" s="239"/>
      <c r="AK39" s="239">
        <v>7</v>
      </c>
      <c r="AL39" s="239">
        <v>1</v>
      </c>
      <c r="AM39" s="239"/>
      <c r="AN39" s="239">
        <v>400</v>
      </c>
      <c r="AO39" s="239"/>
      <c r="AP39" s="239"/>
      <c r="AQ39" s="244">
        <v>7.7737226277372271E-3</v>
      </c>
      <c r="AR39" s="244">
        <v>9.1240875912408769E-3</v>
      </c>
      <c r="AS39" s="243">
        <v>10500105</v>
      </c>
      <c r="AT39" s="17">
        <v>7.8800879461698214E-5</v>
      </c>
      <c r="AU39" s="17">
        <v>7.8800879461698214E-5</v>
      </c>
      <c r="AV39" s="17">
        <v>8.1568845077150756E-5</v>
      </c>
      <c r="AW39" s="17">
        <v>0</v>
      </c>
      <c r="AX39" s="17">
        <v>0</v>
      </c>
      <c r="AY39" s="17">
        <v>0</v>
      </c>
      <c r="AZ39" s="17">
        <v>0</v>
      </c>
      <c r="BA39" s="17">
        <v>7.8584904839441782E-5</v>
      </c>
      <c r="BB39" s="17">
        <v>2.2977825179353644E-4</v>
      </c>
      <c r="BC39" s="17">
        <v>8.3610441552935594E-5</v>
      </c>
      <c r="BD39" s="17">
        <v>0</v>
      </c>
      <c r="BE39" s="17">
        <v>0</v>
      </c>
      <c r="BF39" s="17">
        <v>0</v>
      </c>
      <c r="BG39" s="17">
        <v>0</v>
      </c>
      <c r="BH39" s="17">
        <v>8.0036056889478646E-5</v>
      </c>
      <c r="BI39" s="17">
        <v>2.3402134633981528E-4</v>
      </c>
      <c r="BJ39" s="17">
        <v>8.515439536839066E-5</v>
      </c>
      <c r="BK39" s="17">
        <v>0</v>
      </c>
      <c r="BL39" s="17">
        <v>0</v>
      </c>
      <c r="BM39" s="17">
        <v>0</v>
      </c>
      <c r="BN39" s="17">
        <v>0</v>
      </c>
      <c r="BO39" s="17">
        <v>8.4444132491454921E-5</v>
      </c>
      <c r="BP39" s="17">
        <v>2.4691033446883683E-4</v>
      </c>
      <c r="BQ39" s="17">
        <v>8.9844369202843634E-5</v>
      </c>
      <c r="BR39" s="17">
        <v>0</v>
      </c>
      <c r="BS39" s="17">
        <v>0</v>
      </c>
      <c r="BT39" s="17">
        <v>0</v>
      </c>
      <c r="BU39" s="17">
        <v>0</v>
      </c>
    </row>
    <row r="40" spans="1:73" x14ac:dyDescent="0.25">
      <c r="A40" s="172">
        <v>264</v>
      </c>
      <c r="B40" t="s">
        <v>494</v>
      </c>
      <c r="C40" s="238">
        <v>94</v>
      </c>
      <c r="D40" s="238">
        <v>94</v>
      </c>
      <c r="E40" s="177" t="s">
        <v>612</v>
      </c>
      <c r="F40" s="177" t="s">
        <v>612</v>
      </c>
      <c r="G40" s="172" t="s">
        <v>424</v>
      </c>
      <c r="H40" s="172" t="s">
        <v>518</v>
      </c>
      <c r="I40" t="s">
        <v>442</v>
      </c>
      <c r="K40">
        <v>17</v>
      </c>
      <c r="L40" t="s">
        <v>508</v>
      </c>
      <c r="M40" s="198"/>
      <c r="N40" s="198"/>
      <c r="O40" s="198"/>
      <c r="P40" s="198"/>
      <c r="Q40" s="199"/>
      <c r="R40" s="189"/>
      <c r="S40" s="172"/>
      <c r="T40" s="172"/>
      <c r="U40" s="172"/>
      <c r="V40" s="172"/>
      <c r="W40" s="219" t="s">
        <v>519</v>
      </c>
      <c r="X40" s="219" t="s">
        <v>519</v>
      </c>
      <c r="Y40" s="172"/>
      <c r="AA40" s="187" t="s">
        <v>520</v>
      </c>
      <c r="AB40" s="239" t="s">
        <v>500</v>
      </c>
      <c r="AC40" s="240">
        <v>64.645174299999994</v>
      </c>
      <c r="AD40" s="240">
        <v>-147.06517600000001</v>
      </c>
      <c r="AE40" s="241">
        <v>64.645173999999997</v>
      </c>
      <c r="AF40" s="241">
        <v>-147.06517600000001</v>
      </c>
      <c r="AG40" s="239">
        <v>27</v>
      </c>
      <c r="AH40" s="239">
        <v>540</v>
      </c>
      <c r="AI40" s="239">
        <v>7</v>
      </c>
      <c r="AJ40" s="239"/>
      <c r="AK40" s="239">
        <v>7</v>
      </c>
      <c r="AL40" s="239">
        <v>1</v>
      </c>
      <c r="AM40" s="239"/>
      <c r="AN40" s="239">
        <v>400</v>
      </c>
      <c r="AO40" s="239"/>
      <c r="AP40" s="239"/>
      <c r="AQ40" s="244">
        <v>2.6430656934306573E-2</v>
      </c>
      <c r="AR40" s="244">
        <v>3.1021897810218985E-2</v>
      </c>
      <c r="AS40" s="243">
        <v>30190001</v>
      </c>
      <c r="AT40" s="17">
        <v>2.6792299016977389E-4</v>
      </c>
      <c r="AU40" s="17">
        <v>2.6792299016977389E-4</v>
      </c>
      <c r="AV40" s="17">
        <v>2.7733407326231262E-4</v>
      </c>
      <c r="AW40" s="17">
        <v>0</v>
      </c>
      <c r="AX40" s="17">
        <v>0</v>
      </c>
      <c r="AY40" s="17">
        <v>0</v>
      </c>
      <c r="AZ40" s="17">
        <v>0</v>
      </c>
      <c r="BA40" s="17">
        <v>2.6718867645410211E-4</v>
      </c>
      <c r="BB40" s="17">
        <v>7.812460560980241E-4</v>
      </c>
      <c r="BC40" s="17">
        <v>2.8427550127998108E-4</v>
      </c>
      <c r="BD40" s="17">
        <v>0</v>
      </c>
      <c r="BE40" s="17">
        <v>0</v>
      </c>
      <c r="BF40" s="17">
        <v>0</v>
      </c>
      <c r="BG40" s="17">
        <v>0</v>
      </c>
      <c r="BH40" s="17">
        <v>2.7212259342422748E-4</v>
      </c>
      <c r="BI40" s="17">
        <v>7.95672577555372E-4</v>
      </c>
      <c r="BJ40" s="17">
        <v>2.8952494425252826E-4</v>
      </c>
      <c r="BK40" s="17">
        <v>0</v>
      </c>
      <c r="BL40" s="17">
        <v>0</v>
      </c>
      <c r="BM40" s="17">
        <v>0</v>
      </c>
      <c r="BN40" s="17">
        <v>0</v>
      </c>
      <c r="BO40" s="17">
        <v>2.8711005047094679E-4</v>
      </c>
      <c r="BP40" s="17">
        <v>8.3949513719404529E-4</v>
      </c>
      <c r="BQ40" s="17">
        <v>3.0547085528966837E-4</v>
      </c>
      <c r="BR40" s="17">
        <v>0</v>
      </c>
      <c r="BS40" s="17">
        <v>0</v>
      </c>
      <c r="BT40" s="17">
        <v>0</v>
      </c>
      <c r="BU40" s="17">
        <v>0</v>
      </c>
    </row>
    <row r="41" spans="1:73" x14ac:dyDescent="0.25">
      <c r="A41" s="173">
        <v>264</v>
      </c>
      <c r="B41" s="7" t="s">
        <v>494</v>
      </c>
      <c r="C41" s="245">
        <v>95</v>
      </c>
      <c r="D41" s="245">
        <v>95</v>
      </c>
      <c r="E41" s="193" t="s">
        <v>613</v>
      </c>
      <c r="F41" s="193" t="s">
        <v>613</v>
      </c>
      <c r="G41" s="173" t="s">
        <v>424</v>
      </c>
      <c r="H41" s="173" t="s">
        <v>518</v>
      </c>
      <c r="I41" s="7" t="s">
        <v>442</v>
      </c>
      <c r="J41" s="7"/>
      <c r="K41" s="7">
        <v>17</v>
      </c>
      <c r="L41" s="7" t="s">
        <v>508</v>
      </c>
      <c r="M41" s="204"/>
      <c r="N41" s="204"/>
      <c r="O41" s="204"/>
      <c r="P41" s="204"/>
      <c r="Q41" s="195"/>
      <c r="R41" s="196"/>
      <c r="S41" s="173"/>
      <c r="T41" s="173"/>
      <c r="U41" s="173"/>
      <c r="V41" s="173"/>
      <c r="W41" s="235" t="s">
        <v>519</v>
      </c>
      <c r="X41" s="235" t="s">
        <v>519</v>
      </c>
      <c r="Y41" s="173"/>
      <c r="Z41" s="7"/>
      <c r="AA41" s="192" t="s">
        <v>521</v>
      </c>
      <c r="AB41" s="246" t="s">
        <v>500</v>
      </c>
      <c r="AC41" s="247">
        <v>64.645174299999994</v>
      </c>
      <c r="AD41" s="247">
        <v>-147.06517600000001</v>
      </c>
      <c r="AE41" s="248">
        <v>64.645173999999997</v>
      </c>
      <c r="AF41" s="248">
        <v>-147.06517600000001</v>
      </c>
      <c r="AG41" s="246">
        <v>27</v>
      </c>
      <c r="AH41" s="246">
        <v>570</v>
      </c>
      <c r="AI41" s="246">
        <v>7</v>
      </c>
      <c r="AJ41" s="246"/>
      <c r="AK41" s="246">
        <v>7</v>
      </c>
      <c r="AL41" s="246">
        <v>1</v>
      </c>
      <c r="AM41" s="246"/>
      <c r="AN41" s="246">
        <v>400</v>
      </c>
      <c r="AO41" s="246"/>
      <c r="AP41" s="246"/>
      <c r="AQ41" s="249">
        <v>2.6430656934306573E-2</v>
      </c>
      <c r="AR41" s="249">
        <v>3.1021897810218985E-2</v>
      </c>
      <c r="AS41" s="250">
        <v>30190001</v>
      </c>
      <c r="AT41" s="32">
        <v>2.6792299016977389E-4</v>
      </c>
      <c r="AU41" s="32">
        <v>2.6792299016977389E-4</v>
      </c>
      <c r="AV41" s="32">
        <v>2.7733407326231262E-4</v>
      </c>
      <c r="AW41" s="32">
        <v>0</v>
      </c>
      <c r="AX41" s="32">
        <v>0</v>
      </c>
      <c r="AY41" s="32">
        <v>0</v>
      </c>
      <c r="AZ41" s="32">
        <v>0</v>
      </c>
      <c r="BA41" s="32">
        <v>2.6718867645410211E-4</v>
      </c>
      <c r="BB41" s="32">
        <v>7.812460560980241E-4</v>
      </c>
      <c r="BC41" s="32">
        <v>2.8427550127998108E-4</v>
      </c>
      <c r="BD41" s="32">
        <v>0</v>
      </c>
      <c r="BE41" s="32">
        <v>0</v>
      </c>
      <c r="BF41" s="32">
        <v>0</v>
      </c>
      <c r="BG41" s="32">
        <v>0</v>
      </c>
      <c r="BH41" s="32">
        <v>2.7212259342422748E-4</v>
      </c>
      <c r="BI41" s="32">
        <v>7.95672577555372E-4</v>
      </c>
      <c r="BJ41" s="32">
        <v>2.8952494425252826E-4</v>
      </c>
      <c r="BK41" s="32">
        <v>0</v>
      </c>
      <c r="BL41" s="32">
        <v>0</v>
      </c>
      <c r="BM41" s="32">
        <v>0</v>
      </c>
      <c r="BN41" s="32">
        <v>0</v>
      </c>
      <c r="BO41" s="32">
        <v>2.8711005047094679E-4</v>
      </c>
      <c r="BP41" s="32">
        <v>8.3949513719404529E-4</v>
      </c>
      <c r="BQ41" s="32">
        <v>3.0547085528966837E-4</v>
      </c>
      <c r="BR41" s="32">
        <v>0</v>
      </c>
      <c r="BS41" s="32">
        <v>0</v>
      </c>
      <c r="BT41" s="32">
        <v>0</v>
      </c>
      <c r="BU41" s="32">
        <v>0</v>
      </c>
    </row>
    <row r="42" spans="1:73" x14ac:dyDescent="0.25">
      <c r="A42" s="173">
        <v>315</v>
      </c>
      <c r="B42" s="7" t="s">
        <v>522</v>
      </c>
      <c r="C42" s="173">
        <v>7</v>
      </c>
      <c r="D42" s="173">
        <v>7</v>
      </c>
      <c r="E42" s="193" t="s">
        <v>614</v>
      </c>
      <c r="F42" s="193" t="s">
        <v>614</v>
      </c>
      <c r="G42" s="173" t="s">
        <v>424</v>
      </c>
      <c r="H42" s="173" t="s">
        <v>195</v>
      </c>
      <c r="I42" s="7" t="s">
        <v>615</v>
      </c>
      <c r="J42" s="7" t="s">
        <v>616</v>
      </c>
      <c r="K42" s="7">
        <v>220000</v>
      </c>
      <c r="L42" s="7" t="s">
        <v>617</v>
      </c>
      <c r="M42" s="204">
        <v>25</v>
      </c>
      <c r="N42" s="204">
        <v>25</v>
      </c>
      <c r="O42" s="204">
        <v>25</v>
      </c>
      <c r="P42" s="204">
        <v>25</v>
      </c>
      <c r="Q42" s="195">
        <v>429922</v>
      </c>
      <c r="R42" s="196" t="s">
        <v>523</v>
      </c>
      <c r="S42" s="173">
        <v>7</v>
      </c>
      <c r="T42" s="173">
        <v>52</v>
      </c>
      <c r="U42" s="173">
        <v>24</v>
      </c>
      <c r="V42" s="173">
        <v>8736</v>
      </c>
      <c r="W42" s="235">
        <v>1700.0000000000002</v>
      </c>
      <c r="X42" s="235">
        <v>1700.0000000000002</v>
      </c>
      <c r="Y42" s="173">
        <v>7.6</v>
      </c>
      <c r="Z42" s="7"/>
      <c r="AA42" s="7" t="s">
        <v>618</v>
      </c>
      <c r="AB42" s="205" t="s">
        <v>500</v>
      </c>
      <c r="AC42" s="7"/>
      <c r="AD42" s="173"/>
      <c r="AE42" s="206">
        <v>64.847610000000003</v>
      </c>
      <c r="AF42" s="206">
        <v>-147.73517000000001</v>
      </c>
      <c r="AG42" s="173"/>
      <c r="AH42" s="173">
        <v>145.93799999999999</v>
      </c>
      <c r="AI42" s="173">
        <v>0</v>
      </c>
      <c r="AJ42" s="173" t="s">
        <v>619</v>
      </c>
      <c r="AK42" s="173">
        <v>158.23162729658796</v>
      </c>
      <c r="AL42" s="173">
        <v>6.0006561679790025</v>
      </c>
      <c r="AM42" s="173">
        <v>0</v>
      </c>
      <c r="AN42" s="173">
        <v>312</v>
      </c>
      <c r="AO42" s="173">
        <v>276790</v>
      </c>
      <c r="AP42" s="173">
        <v>92</v>
      </c>
      <c r="AQ42" s="173">
        <v>0</v>
      </c>
      <c r="AR42" s="173">
        <v>0</v>
      </c>
      <c r="AS42" s="216">
        <v>10100224</v>
      </c>
      <c r="AT42" s="32">
        <v>0.17028307518802649</v>
      </c>
      <c r="AU42" s="32">
        <v>0.17028307518802649</v>
      </c>
      <c r="AV42" s="32">
        <v>1.8601319978652562</v>
      </c>
      <c r="AW42" s="32">
        <v>1.4491911391726306</v>
      </c>
      <c r="AX42" s="32">
        <v>1.4976570797644228E-2</v>
      </c>
      <c r="AY42" s="32">
        <v>0</v>
      </c>
      <c r="AZ42" s="32">
        <v>1.547203832217529E-4</v>
      </c>
      <c r="BA42" s="32">
        <v>0.17995975594567157</v>
      </c>
      <c r="BB42" s="32">
        <v>0.17995975594567157</v>
      </c>
      <c r="BC42" s="32">
        <v>1.896894742728704</v>
      </c>
      <c r="BD42" s="32">
        <v>1.5892205241367992</v>
      </c>
      <c r="BE42" s="32">
        <v>5.1864079941267363E-3</v>
      </c>
      <c r="BF42" s="32">
        <v>0</v>
      </c>
      <c r="BG42" s="32">
        <v>0</v>
      </c>
      <c r="BH42" s="32">
        <v>0.18328290012072979</v>
      </c>
      <c r="BI42" s="32">
        <v>0.18328290012072979</v>
      </c>
      <c r="BJ42" s="32">
        <v>1.9319228782241777</v>
      </c>
      <c r="BK42" s="32">
        <v>1.6185671349938535</v>
      </c>
      <c r="BL42" s="32">
        <v>5.2821804151582524E-3</v>
      </c>
      <c r="BM42" s="32">
        <v>0</v>
      </c>
      <c r="BN42" s="32">
        <v>0</v>
      </c>
      <c r="BO42" s="32">
        <v>0.193377411415774</v>
      </c>
      <c r="BP42" s="32">
        <v>0.193377411415774</v>
      </c>
      <c r="BQ42" s="32">
        <v>2.0383256975954467</v>
      </c>
      <c r="BR42" s="32">
        <v>1.7077115353455525</v>
      </c>
      <c r="BS42" s="32">
        <v>5.573102426039536E-3</v>
      </c>
      <c r="BT42" s="32">
        <v>0</v>
      </c>
      <c r="BU42" s="32">
        <v>0</v>
      </c>
    </row>
    <row r="43" spans="1:73" x14ac:dyDescent="0.25">
      <c r="A43" s="172">
        <v>316</v>
      </c>
      <c r="B43" t="s">
        <v>446</v>
      </c>
      <c r="C43" s="172">
        <v>1</v>
      </c>
      <c r="D43" s="172">
        <v>1</v>
      </c>
      <c r="E43" s="177" t="s">
        <v>620</v>
      </c>
      <c r="F43" s="177" t="s">
        <v>620</v>
      </c>
      <c r="G43" s="172" t="s">
        <v>424</v>
      </c>
      <c r="H43" s="172" t="s">
        <v>195</v>
      </c>
      <c r="I43" t="s">
        <v>495</v>
      </c>
      <c r="J43" t="s">
        <v>621</v>
      </c>
      <c r="K43">
        <v>140.4</v>
      </c>
      <c r="L43" t="s">
        <v>508</v>
      </c>
      <c r="M43" s="198">
        <v>27</v>
      </c>
      <c r="N43" s="198">
        <v>27</v>
      </c>
      <c r="O43" s="198">
        <v>19</v>
      </c>
      <c r="P43" s="198">
        <v>27</v>
      </c>
      <c r="Q43" s="199">
        <v>66876</v>
      </c>
      <c r="R43" t="s">
        <v>523</v>
      </c>
      <c r="S43" s="172">
        <v>7</v>
      </c>
      <c r="T43" s="172">
        <v>52</v>
      </c>
      <c r="U43" s="172">
        <v>24</v>
      </c>
      <c r="V43" s="172">
        <v>8322</v>
      </c>
      <c r="W43" s="219">
        <v>1600</v>
      </c>
      <c r="X43" s="219">
        <v>1600</v>
      </c>
      <c r="Y43" s="49">
        <v>7.6064999999999996</v>
      </c>
      <c r="Z43" s="189"/>
      <c r="AA43" t="s">
        <v>622</v>
      </c>
      <c r="AB43" s="73" t="s">
        <v>500</v>
      </c>
      <c r="AD43" s="172"/>
      <c r="AE43" s="203">
        <v>64.854316999999995</v>
      </c>
      <c r="AF43" s="203">
        <v>-147.822337</v>
      </c>
      <c r="AG43" s="172"/>
      <c r="AH43" s="172">
        <v>0</v>
      </c>
      <c r="AI43" s="172">
        <v>400</v>
      </c>
      <c r="AJ43" s="172">
        <v>0</v>
      </c>
      <c r="AK43" s="172">
        <v>72</v>
      </c>
      <c r="AL43" s="172">
        <v>5</v>
      </c>
      <c r="AM43" s="172">
        <v>0</v>
      </c>
      <c r="AN43" s="172">
        <v>435</v>
      </c>
      <c r="AO43" s="172">
        <v>38372</v>
      </c>
      <c r="AP43" s="172">
        <v>63</v>
      </c>
      <c r="AQ43" s="172">
        <v>0</v>
      </c>
      <c r="AR43" s="172">
        <v>0</v>
      </c>
      <c r="AS43" s="251">
        <v>10100225</v>
      </c>
      <c r="AT43" s="17">
        <v>6.2472883222831586E-2</v>
      </c>
      <c r="AU43" s="17">
        <v>6.2472883222831586E-2</v>
      </c>
      <c r="AV43" s="17">
        <v>0.55634311500290323</v>
      </c>
      <c r="AW43" s="17">
        <v>0.85248024988357385</v>
      </c>
      <c r="AX43" s="17">
        <v>5.4356610347911696E-3</v>
      </c>
      <c r="AY43" s="17">
        <v>0</v>
      </c>
      <c r="AZ43" s="17">
        <v>4.9384210152416723E-5</v>
      </c>
      <c r="BA43" s="17">
        <v>6.9558764282530841E-2</v>
      </c>
      <c r="BB43" s="17">
        <v>6.9558764282530841E-2</v>
      </c>
      <c r="BC43" s="17">
        <v>0.51818294492494088</v>
      </c>
      <c r="BD43" s="17">
        <v>0.86104813192689322</v>
      </c>
      <c r="BE43" s="17">
        <v>5.0789351496120594E-3</v>
      </c>
      <c r="BF43" s="17">
        <v>0</v>
      </c>
      <c r="BG43" s="17">
        <v>1.5511722971035306E-4</v>
      </c>
      <c r="BH43" s="17">
        <v>7.08432392538101E-2</v>
      </c>
      <c r="BI43" s="17">
        <v>7.08432392538101E-2</v>
      </c>
      <c r="BJ43" s="17">
        <v>0.5277517322684937</v>
      </c>
      <c r="BK43" s="17">
        <v>0.87694828176329009</v>
      </c>
      <c r="BL43" s="17">
        <v>5.1727229727241723E-3</v>
      </c>
      <c r="BM43" s="17">
        <v>0</v>
      </c>
      <c r="BN43" s="17">
        <v>1.5798163078521751E-4</v>
      </c>
      <c r="BO43" s="17">
        <v>7.4745010113797833E-2</v>
      </c>
      <c r="BP43" s="17">
        <v>7.4745010113797833E-2</v>
      </c>
      <c r="BQ43" s="17">
        <v>0.55681825085181103</v>
      </c>
      <c r="BR43" s="17">
        <v>0.9252471919703964</v>
      </c>
      <c r="BS43" s="17">
        <v>5.4576164921954573E-3</v>
      </c>
      <c r="BT43" s="17">
        <v>0</v>
      </c>
      <c r="BU43" s="17">
        <v>1.6668264629359503E-4</v>
      </c>
    </row>
    <row r="44" spans="1:73" x14ac:dyDescent="0.25">
      <c r="A44" s="172">
        <v>316</v>
      </c>
      <c r="B44" t="s">
        <v>446</v>
      </c>
      <c r="C44" s="172">
        <v>2</v>
      </c>
      <c r="D44" s="172">
        <v>1</v>
      </c>
      <c r="E44" s="177" t="s">
        <v>623</v>
      </c>
      <c r="F44" s="177" t="s">
        <v>620</v>
      </c>
      <c r="G44" s="172" t="s">
        <v>424</v>
      </c>
      <c r="H44" s="172" t="s">
        <v>195</v>
      </c>
      <c r="I44" t="s">
        <v>495</v>
      </c>
      <c r="J44" t="s">
        <v>621</v>
      </c>
      <c r="K44">
        <v>140.4</v>
      </c>
      <c r="L44" t="s">
        <v>508</v>
      </c>
      <c r="M44" s="198">
        <v>26</v>
      </c>
      <c r="N44" s="198">
        <v>25</v>
      </c>
      <c r="O44" s="198">
        <v>24</v>
      </c>
      <c r="P44" s="198">
        <v>24</v>
      </c>
      <c r="Q44" s="199">
        <v>70321</v>
      </c>
      <c r="R44" t="s">
        <v>523</v>
      </c>
      <c r="S44" s="172">
        <v>7</v>
      </c>
      <c r="T44" s="172">
        <v>52</v>
      </c>
      <c r="U44" s="172">
        <v>24</v>
      </c>
      <c r="V44" s="172">
        <v>8341</v>
      </c>
      <c r="W44" s="219">
        <v>1600</v>
      </c>
      <c r="X44" s="219">
        <v>1600</v>
      </c>
      <c r="Y44" s="49">
        <v>7.6064999999999996</v>
      </c>
      <c r="Z44" s="189"/>
      <c r="AA44" t="s">
        <v>622</v>
      </c>
      <c r="AB44" s="73" t="s">
        <v>500</v>
      </c>
      <c r="AD44" s="172"/>
      <c r="AE44" s="203">
        <v>64.854316999999995</v>
      </c>
      <c r="AF44" s="203">
        <v>-147.822337</v>
      </c>
      <c r="AG44" s="172"/>
      <c r="AH44" s="172">
        <v>0</v>
      </c>
      <c r="AI44" s="172">
        <v>400</v>
      </c>
      <c r="AJ44" s="172">
        <v>0</v>
      </c>
      <c r="AK44" s="172">
        <v>72</v>
      </c>
      <c r="AL44" s="172">
        <v>5</v>
      </c>
      <c r="AM44" s="172">
        <v>0</v>
      </c>
      <c r="AN44" s="172">
        <v>435</v>
      </c>
      <c r="AO44" s="172">
        <v>38372</v>
      </c>
      <c r="AP44" s="172">
        <v>63</v>
      </c>
      <c r="AQ44" s="172">
        <v>0</v>
      </c>
      <c r="AR44" s="172">
        <v>0</v>
      </c>
      <c r="AS44" s="251">
        <v>10100225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7">
        <v>0</v>
      </c>
      <c r="BP44" s="17">
        <v>0</v>
      </c>
      <c r="BQ44" s="17">
        <v>0</v>
      </c>
      <c r="BR44" s="17">
        <v>0</v>
      </c>
      <c r="BS44" s="17">
        <v>0</v>
      </c>
      <c r="BT44" s="17">
        <v>0</v>
      </c>
      <c r="BU44" s="17">
        <v>0</v>
      </c>
    </row>
    <row r="45" spans="1:73" x14ac:dyDescent="0.25">
      <c r="A45" s="172">
        <v>316</v>
      </c>
      <c r="B45" t="s">
        <v>446</v>
      </c>
      <c r="C45" s="172">
        <v>3</v>
      </c>
      <c r="D45" s="172">
        <v>3</v>
      </c>
      <c r="E45" s="177" t="s">
        <v>624</v>
      </c>
      <c r="F45" s="177" t="s">
        <v>624</v>
      </c>
      <c r="G45" s="172" t="s">
        <v>424</v>
      </c>
      <c r="H45" s="172" t="s">
        <v>524</v>
      </c>
      <c r="I45" t="s">
        <v>495</v>
      </c>
      <c r="J45" t="s">
        <v>625</v>
      </c>
      <c r="K45">
        <v>180.9</v>
      </c>
      <c r="L45" t="s">
        <v>508</v>
      </c>
      <c r="M45" s="198">
        <v>46</v>
      </c>
      <c r="N45" s="198">
        <v>2</v>
      </c>
      <c r="O45" s="198">
        <v>25</v>
      </c>
      <c r="P45" s="198">
        <v>27</v>
      </c>
      <c r="Q45" s="199">
        <v>511.4</v>
      </c>
      <c r="R45" t="s">
        <v>525</v>
      </c>
      <c r="S45" s="172">
        <v>1</v>
      </c>
      <c r="T45" s="172">
        <v>9</v>
      </c>
      <c r="U45" s="172">
        <v>4</v>
      </c>
      <c r="V45" s="172">
        <v>2837</v>
      </c>
      <c r="W45" s="219">
        <v>4400</v>
      </c>
      <c r="X45" s="219">
        <v>4400</v>
      </c>
      <c r="Y45" s="172">
        <v>135</v>
      </c>
      <c r="Z45" s="189"/>
      <c r="AA45" t="s">
        <v>626</v>
      </c>
      <c r="AB45" s="73" t="s">
        <v>500</v>
      </c>
      <c r="AD45" s="172"/>
      <c r="AE45" s="203">
        <v>64.854163999999997</v>
      </c>
      <c r="AF45" s="203">
        <v>-147.822282</v>
      </c>
      <c r="AG45" s="172"/>
      <c r="AH45" s="172">
        <v>0</v>
      </c>
      <c r="AI45" s="172">
        <v>400</v>
      </c>
      <c r="AJ45" s="172">
        <v>0</v>
      </c>
      <c r="AK45" s="172">
        <v>68</v>
      </c>
      <c r="AL45" s="172">
        <v>6</v>
      </c>
      <c r="AM45" s="172">
        <v>0</v>
      </c>
      <c r="AN45" s="172">
        <v>300</v>
      </c>
      <c r="AO45" s="172">
        <v>33500</v>
      </c>
      <c r="AP45" s="172">
        <v>20</v>
      </c>
      <c r="AQ45" s="172">
        <v>0</v>
      </c>
      <c r="AR45" s="172">
        <v>0</v>
      </c>
      <c r="AS45" s="251">
        <v>10300501</v>
      </c>
      <c r="AT45" s="17">
        <v>3.5226807655514922E-3</v>
      </c>
      <c r="AU45" s="17">
        <v>3.5226807655514922E-3</v>
      </c>
      <c r="AV45" s="17">
        <v>8.887676198041039E-2</v>
      </c>
      <c r="AW45" s="17">
        <v>3.9608888269487365E-2</v>
      </c>
      <c r="AX45" s="17">
        <v>6.5234388352577186E-4</v>
      </c>
      <c r="AY45" s="17">
        <v>0</v>
      </c>
      <c r="AZ45" s="17">
        <v>1.1989154248721258E-3</v>
      </c>
      <c r="BA45" s="17">
        <v>3.9384054704831922E-3</v>
      </c>
      <c r="BB45" s="17">
        <v>3.9384054704831922E-3</v>
      </c>
      <c r="BC45" s="17">
        <v>8.2642773624397883E-2</v>
      </c>
      <c r="BD45" s="17">
        <v>4.0200442193355466E-2</v>
      </c>
      <c r="BE45" s="17">
        <v>5.9122993099426776E-4</v>
      </c>
      <c r="BF45" s="17">
        <v>0</v>
      </c>
      <c r="BG45" s="17">
        <v>3.7599010087771565E-3</v>
      </c>
      <c r="BH45" s="17">
        <v>4.0111322261374106E-3</v>
      </c>
      <c r="BI45" s="17">
        <v>4.0111322261374106E-3</v>
      </c>
      <c r="BJ45" s="17">
        <v>8.4168858444514438E-2</v>
      </c>
      <c r="BK45" s="17">
        <v>4.0942785194475917E-2</v>
      </c>
      <c r="BL45" s="17">
        <v>6.0214760695453517E-4</v>
      </c>
      <c r="BM45" s="17">
        <v>0</v>
      </c>
      <c r="BN45" s="17">
        <v>3.8293314937789553E-3</v>
      </c>
      <c r="BO45" s="17">
        <v>4.2320498323952151E-3</v>
      </c>
      <c r="BP45" s="17">
        <v>4.2320498323952151E-3</v>
      </c>
      <c r="BQ45" s="17">
        <v>8.8804552727502456E-2</v>
      </c>
      <c r="BR45" s="17">
        <v>4.3197755010666992E-2</v>
      </c>
      <c r="BS45" s="17">
        <v>6.3531156177892151E-4</v>
      </c>
      <c r="BT45" s="17">
        <v>0</v>
      </c>
      <c r="BU45" s="17">
        <v>4.0402362207936282E-3</v>
      </c>
    </row>
    <row r="46" spans="1:73" x14ac:dyDescent="0.25">
      <c r="A46" s="172">
        <v>316</v>
      </c>
      <c r="B46" t="s">
        <v>446</v>
      </c>
      <c r="C46" s="172">
        <v>4</v>
      </c>
      <c r="D46" s="172">
        <v>4</v>
      </c>
      <c r="E46" s="177" t="s">
        <v>627</v>
      </c>
      <c r="F46" s="177" t="s">
        <v>627</v>
      </c>
      <c r="G46" s="172" t="s">
        <v>424</v>
      </c>
      <c r="H46" s="172" t="s">
        <v>524</v>
      </c>
      <c r="I46" t="s">
        <v>495</v>
      </c>
      <c r="J46" t="s">
        <v>625</v>
      </c>
      <c r="K46">
        <v>180.9</v>
      </c>
      <c r="L46" t="s">
        <v>508</v>
      </c>
      <c r="M46" s="198">
        <v>29</v>
      </c>
      <c r="N46" s="198">
        <v>0</v>
      </c>
      <c r="O46" s="198">
        <v>0</v>
      </c>
      <c r="P46" s="198">
        <v>71</v>
      </c>
      <c r="Q46" s="199">
        <v>246.7</v>
      </c>
      <c r="R46" t="s">
        <v>525</v>
      </c>
      <c r="S46" s="172">
        <v>1</v>
      </c>
      <c r="T46" s="172">
        <v>7</v>
      </c>
      <c r="U46" s="172">
        <v>3</v>
      </c>
      <c r="V46" s="172">
        <v>3299</v>
      </c>
      <c r="W46" s="219">
        <v>4400</v>
      </c>
      <c r="X46" s="219">
        <v>4400</v>
      </c>
      <c r="Y46" s="172">
        <v>135</v>
      </c>
      <c r="Z46" s="189" t="s">
        <v>526</v>
      </c>
      <c r="AA46" t="s">
        <v>628</v>
      </c>
      <c r="AB46" s="73" t="s">
        <v>500</v>
      </c>
      <c r="AD46" s="172"/>
      <c r="AE46" s="203">
        <v>64.854194000000007</v>
      </c>
      <c r="AF46" s="203">
        <v>-147.82195999999999</v>
      </c>
      <c r="AG46" s="172"/>
      <c r="AH46" s="172">
        <v>0</v>
      </c>
      <c r="AI46" s="172">
        <v>400</v>
      </c>
      <c r="AJ46" s="172">
        <v>0</v>
      </c>
      <c r="AK46" s="172">
        <v>68</v>
      </c>
      <c r="AL46" s="172">
        <v>3.98</v>
      </c>
      <c r="AM46" s="172">
        <v>0</v>
      </c>
      <c r="AN46" s="172">
        <v>255</v>
      </c>
      <c r="AO46" s="172">
        <v>9390</v>
      </c>
      <c r="AP46" s="172">
        <v>12.58</v>
      </c>
      <c r="AQ46" s="172">
        <v>0</v>
      </c>
      <c r="AR46" s="172">
        <v>0</v>
      </c>
      <c r="AS46" s="251">
        <v>10300501</v>
      </c>
      <c r="AT46" s="17">
        <v>3.1957936843581857E-3</v>
      </c>
      <c r="AU46" s="17">
        <v>3.1957936843581857E-3</v>
      </c>
      <c r="AV46" s="17">
        <v>8.0709349290978796E-2</v>
      </c>
      <c r="AW46" s="17">
        <v>3.595458701528742E-2</v>
      </c>
      <c r="AX46" s="17">
        <v>5.7508126967259726E-4</v>
      </c>
      <c r="AY46" s="17">
        <v>0</v>
      </c>
      <c r="AZ46" s="17">
        <v>1.0825335318790886E-3</v>
      </c>
      <c r="BA46" s="17">
        <v>3.5607485680739029E-3</v>
      </c>
      <c r="BB46" s="17">
        <v>3.5607485680739029E-3</v>
      </c>
      <c r="BC46" s="17">
        <v>7.551404346378944E-2</v>
      </c>
      <c r="BD46" s="17">
        <v>3.6345589109281408E-2</v>
      </c>
      <c r="BE46" s="17">
        <v>5.3453641225315171E-4</v>
      </c>
      <c r="BF46" s="17">
        <v>0</v>
      </c>
      <c r="BG46" s="17">
        <v>3.3993610443214055E-3</v>
      </c>
      <c r="BH46" s="17">
        <v>3.6265014960030445E-3</v>
      </c>
      <c r="BI46" s="17">
        <v>3.6265014960030445E-3</v>
      </c>
      <c r="BJ46" s="17">
        <v>7.6908488862723751E-2</v>
      </c>
      <c r="BK46" s="17">
        <v>3.7016748236514449E-2</v>
      </c>
      <c r="BL46" s="17">
        <v>5.4440718338973754E-4</v>
      </c>
      <c r="BM46" s="17">
        <v>0</v>
      </c>
      <c r="BN46" s="17">
        <v>3.4621337836707906E-3</v>
      </c>
      <c r="BO46" s="17">
        <v>3.8262351333952045E-3</v>
      </c>
      <c r="BP46" s="17">
        <v>3.8262351333952045E-3</v>
      </c>
      <c r="BQ46" s="17">
        <v>8.1144310147732643E-2</v>
      </c>
      <c r="BR46" s="17">
        <v>3.9055487163785707E-2</v>
      </c>
      <c r="BS46" s="17">
        <v>5.7439101962438312E-4</v>
      </c>
      <c r="BT46" s="17">
        <v>0</v>
      </c>
      <c r="BU46" s="17">
        <v>3.6528146849507145E-3</v>
      </c>
    </row>
    <row r="47" spans="1:73" x14ac:dyDescent="0.25">
      <c r="A47" s="173">
        <v>316</v>
      </c>
      <c r="B47" s="7" t="s">
        <v>446</v>
      </c>
      <c r="C47" s="173" t="s">
        <v>527</v>
      </c>
      <c r="D47" s="173" t="s">
        <v>527</v>
      </c>
      <c r="E47" s="193" t="s">
        <v>629</v>
      </c>
      <c r="F47" s="193" t="s">
        <v>629</v>
      </c>
      <c r="G47" s="173" t="s">
        <v>424</v>
      </c>
      <c r="H47" s="173" t="s">
        <v>488</v>
      </c>
      <c r="I47" s="7" t="s">
        <v>630</v>
      </c>
      <c r="J47" s="7" t="s">
        <v>631</v>
      </c>
      <c r="K47" s="7" t="s">
        <v>572</v>
      </c>
      <c r="L47" s="7" t="s">
        <v>572</v>
      </c>
      <c r="M47" s="204">
        <v>20</v>
      </c>
      <c r="N47" s="204">
        <v>23</v>
      </c>
      <c r="O47" s="204">
        <v>25</v>
      </c>
      <c r="P47" s="204">
        <v>34</v>
      </c>
      <c r="Q47" s="195">
        <v>18272</v>
      </c>
      <c r="R47" s="7" t="s">
        <v>528</v>
      </c>
      <c r="S47" s="173">
        <v>7</v>
      </c>
      <c r="T47" s="173">
        <v>52</v>
      </c>
      <c r="U47" s="173">
        <v>24</v>
      </c>
      <c r="V47" s="173">
        <v>8736</v>
      </c>
      <c r="W47" s="235">
        <v>0</v>
      </c>
      <c r="X47" s="235">
        <v>0</v>
      </c>
      <c r="Y47" s="173"/>
      <c r="Z47" s="196"/>
      <c r="AA47" s="7" t="s">
        <v>632</v>
      </c>
      <c r="AB47" s="205" t="s">
        <v>500</v>
      </c>
      <c r="AC47" s="7"/>
      <c r="AD47" s="173"/>
      <c r="AE47" s="206">
        <v>64.859517999999994</v>
      </c>
      <c r="AF47" s="206">
        <v>-147.8459</v>
      </c>
      <c r="AG47" s="173"/>
      <c r="AH47" s="173">
        <v>0</v>
      </c>
      <c r="AI47" s="173">
        <v>0</v>
      </c>
      <c r="AJ47" s="173" t="s">
        <v>633</v>
      </c>
      <c r="AK47" s="173">
        <v>61</v>
      </c>
      <c r="AL47" s="173">
        <v>2.2999999999999998</v>
      </c>
      <c r="AM47" s="173">
        <v>0</v>
      </c>
      <c r="AN47" s="173">
        <v>1800</v>
      </c>
      <c r="AO47" s="173">
        <v>0</v>
      </c>
      <c r="AP47" s="173">
        <v>1</v>
      </c>
      <c r="AQ47" s="173">
        <v>0</v>
      </c>
      <c r="AR47" s="173">
        <v>0</v>
      </c>
      <c r="AS47" s="252">
        <v>50200102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  <c r="BL47" s="32">
        <v>0</v>
      </c>
      <c r="BM47" s="32">
        <v>0</v>
      </c>
      <c r="BN47" s="32">
        <v>0</v>
      </c>
      <c r="BO47" s="32">
        <v>0</v>
      </c>
      <c r="BP47" s="32">
        <v>0</v>
      </c>
      <c r="BQ47" s="32">
        <v>0</v>
      </c>
      <c r="BR47" s="32">
        <v>0</v>
      </c>
      <c r="BS47" s="32">
        <v>0</v>
      </c>
      <c r="BT47" s="32">
        <v>0</v>
      </c>
      <c r="BU47" s="32">
        <v>0</v>
      </c>
    </row>
    <row r="48" spans="1:73" x14ac:dyDescent="0.25">
      <c r="A48" s="172">
        <v>1121</v>
      </c>
      <c r="B48" t="s">
        <v>529</v>
      </c>
      <c r="C48" s="172">
        <v>1</v>
      </c>
      <c r="D48" s="172" t="s">
        <v>530</v>
      </c>
      <c r="E48" s="177" t="s">
        <v>634</v>
      </c>
      <c r="F48" s="177" t="s">
        <v>635</v>
      </c>
      <c r="G48" s="172" t="s">
        <v>424</v>
      </c>
      <c r="H48" s="172" t="s">
        <v>195</v>
      </c>
      <c r="I48" t="s">
        <v>495</v>
      </c>
      <c r="J48" t="s">
        <v>636</v>
      </c>
      <c r="K48">
        <v>230</v>
      </c>
      <c r="L48" t="s">
        <v>508</v>
      </c>
      <c r="M48" s="198">
        <v>34</v>
      </c>
      <c r="N48" s="198">
        <v>18</v>
      </c>
      <c r="O48" s="198">
        <v>14</v>
      </c>
      <c r="P48" s="198">
        <v>34</v>
      </c>
      <c r="Q48" s="199">
        <v>39132</v>
      </c>
      <c r="R48" t="s">
        <v>531</v>
      </c>
      <c r="S48" s="172">
        <v>7</v>
      </c>
      <c r="T48" s="172">
        <v>52</v>
      </c>
      <c r="U48" s="172">
        <v>24</v>
      </c>
      <c r="V48" s="172">
        <v>8736</v>
      </c>
      <c r="W48" s="219">
        <v>1600</v>
      </c>
      <c r="X48" s="219">
        <v>1600</v>
      </c>
      <c r="Y48" s="172">
        <v>15.14</v>
      </c>
      <c r="AA48" t="s">
        <v>637</v>
      </c>
      <c r="AB48" s="73" t="s">
        <v>500</v>
      </c>
      <c r="AD48" s="172"/>
      <c r="AE48" s="218">
        <v>64.825618000000006</v>
      </c>
      <c r="AF48" s="218">
        <v>-147.64969199999999</v>
      </c>
      <c r="AG48" s="172"/>
      <c r="AH48" s="172">
        <v>0</v>
      </c>
      <c r="AI48" s="172">
        <v>0</v>
      </c>
      <c r="AJ48" s="172">
        <v>0</v>
      </c>
      <c r="AK48" s="172">
        <v>80</v>
      </c>
      <c r="AL48" s="172">
        <v>7</v>
      </c>
      <c r="AM48" s="172">
        <v>0</v>
      </c>
      <c r="AN48" s="172">
        <v>367</v>
      </c>
      <c r="AO48" s="172">
        <v>92362.8</v>
      </c>
      <c r="AP48" s="172">
        <v>40</v>
      </c>
      <c r="AQ48" s="172">
        <v>0</v>
      </c>
      <c r="AR48" s="172">
        <v>0</v>
      </c>
      <c r="AS48" s="217">
        <v>10200229</v>
      </c>
      <c r="AT48" s="17">
        <v>7.9727593997442739E-2</v>
      </c>
      <c r="AU48" s="17">
        <v>8.9450471314204041E-2</v>
      </c>
      <c r="AV48" s="17">
        <v>0.66564649415167487</v>
      </c>
      <c r="AW48" s="17">
        <v>1.0047401950761594</v>
      </c>
      <c r="AX48" s="17">
        <v>6.3135180753492301E-3</v>
      </c>
      <c r="AY48" s="17">
        <v>0</v>
      </c>
      <c r="AZ48" s="17">
        <v>6.4270907916867033E-5</v>
      </c>
      <c r="BA48" s="17">
        <v>8.7292015081317717E-2</v>
      </c>
      <c r="BB48" s="17">
        <v>0.13066099775750253</v>
      </c>
      <c r="BC48" s="17">
        <v>0.54289515257116694</v>
      </c>
      <c r="BD48" s="17">
        <v>0.56367658513594465</v>
      </c>
      <c r="BE48" s="17">
        <v>9.8458360369792202E-3</v>
      </c>
      <c r="BF48" s="17">
        <v>0</v>
      </c>
      <c r="BG48" s="17">
        <v>5.6381787532656487E-5</v>
      </c>
      <c r="BH48" s="17">
        <v>8.8903952983334783E-2</v>
      </c>
      <c r="BI48" s="17">
        <v>0.13307378905810982</v>
      </c>
      <c r="BJ48" s="17">
        <v>0.5529202765465453</v>
      </c>
      <c r="BK48" s="17">
        <v>0.57408545989056881</v>
      </c>
      <c r="BL48" s="17">
        <v>1.0027649645821536E-2</v>
      </c>
      <c r="BM48" s="17">
        <v>0</v>
      </c>
      <c r="BN48" s="17">
        <v>5.7422935915159737E-5</v>
      </c>
      <c r="BO48" s="17">
        <v>9.3800437908950873E-2</v>
      </c>
      <c r="BP48" s="17">
        <v>0.14040297724662373</v>
      </c>
      <c r="BQ48" s="17">
        <v>0.58337298093512457</v>
      </c>
      <c r="BR48" s="17">
        <v>0.60570386049078129</v>
      </c>
      <c r="BS48" s="17">
        <v>1.0579933697120457E-2</v>
      </c>
      <c r="BT48" s="17">
        <v>0</v>
      </c>
      <c r="BU48" s="17">
        <v>6.0585568516500922E-5</v>
      </c>
    </row>
    <row r="49" spans="1:73" x14ac:dyDescent="0.25">
      <c r="A49" s="172">
        <v>1121</v>
      </c>
      <c r="B49" t="s">
        <v>529</v>
      </c>
      <c r="C49" s="172">
        <v>2</v>
      </c>
      <c r="D49" s="172">
        <v>2</v>
      </c>
      <c r="E49" s="177" t="s">
        <v>638</v>
      </c>
      <c r="F49" s="177" t="s">
        <v>638</v>
      </c>
      <c r="G49" s="172" t="s">
        <v>424</v>
      </c>
      <c r="H49" s="172" t="s">
        <v>195</v>
      </c>
      <c r="I49" t="s">
        <v>495</v>
      </c>
      <c r="J49" t="s">
        <v>636</v>
      </c>
      <c r="K49">
        <v>230</v>
      </c>
      <c r="L49" t="s">
        <v>508</v>
      </c>
      <c r="M49" s="198">
        <v>23</v>
      </c>
      <c r="N49" s="198">
        <v>8</v>
      </c>
      <c r="O49" s="198">
        <v>19</v>
      </c>
      <c r="P49" s="198">
        <v>51</v>
      </c>
      <c r="Q49" s="199">
        <v>35509</v>
      </c>
      <c r="R49" t="s">
        <v>531</v>
      </c>
      <c r="S49" s="172">
        <v>7</v>
      </c>
      <c r="T49" s="172">
        <v>52</v>
      </c>
      <c r="U49" s="172">
        <v>24</v>
      </c>
      <c r="V49" s="172">
        <v>8736</v>
      </c>
      <c r="W49" s="219">
        <v>1600</v>
      </c>
      <c r="X49" s="219">
        <v>1600</v>
      </c>
      <c r="Y49" s="172">
        <v>15.14</v>
      </c>
      <c r="AA49" t="s">
        <v>639</v>
      </c>
      <c r="AB49" s="73" t="s">
        <v>500</v>
      </c>
      <c r="AD49" s="172"/>
      <c r="AE49" s="203">
        <v>64.825575000000001</v>
      </c>
      <c r="AF49" s="203">
        <v>-147.64968300000001</v>
      </c>
      <c r="AG49" s="172"/>
      <c r="AH49" s="172" t="s">
        <v>640</v>
      </c>
      <c r="AI49" s="172">
        <v>0</v>
      </c>
      <c r="AJ49" s="172">
        <v>0</v>
      </c>
      <c r="AK49" s="172">
        <v>80</v>
      </c>
      <c r="AL49" s="172">
        <v>7</v>
      </c>
      <c r="AM49" s="172" t="s">
        <v>640</v>
      </c>
      <c r="AN49" s="172">
        <v>367</v>
      </c>
      <c r="AO49" s="172">
        <v>92362.8</v>
      </c>
      <c r="AP49" s="172">
        <v>40</v>
      </c>
      <c r="AQ49" s="172">
        <v>0</v>
      </c>
      <c r="AR49" s="172">
        <v>0</v>
      </c>
      <c r="AS49" s="217">
        <v>10200229</v>
      </c>
      <c r="AT49" s="17">
        <v>2.4774277723164533E-2</v>
      </c>
      <c r="AU49" s="17">
        <v>2.7795531104038262E-2</v>
      </c>
      <c r="AV49" s="17">
        <v>0.21971496952317482</v>
      </c>
      <c r="AW49" s="17">
        <v>0.31223486630809694</v>
      </c>
      <c r="AX49" s="17">
        <v>1.9530081288218243E-3</v>
      </c>
      <c r="AY49" s="17">
        <v>0</v>
      </c>
      <c r="AZ49" s="17">
        <v>2.0323284397647801E-5</v>
      </c>
      <c r="BA49" s="17">
        <v>2.7105981956265585E-2</v>
      </c>
      <c r="BB49" s="17">
        <v>4.0572950965826859E-2</v>
      </c>
      <c r="BC49" s="17">
        <v>0.17942041671969419</v>
      </c>
      <c r="BD49" s="17">
        <v>0.17503327574270131</v>
      </c>
      <c r="BE49" s="17">
        <v>3.0560152901388271E-3</v>
      </c>
      <c r="BF49" s="17">
        <v>0</v>
      </c>
      <c r="BG49" s="17">
        <v>1.7826755859143161E-5</v>
      </c>
      <c r="BH49" s="17">
        <v>2.7606522121892345E-2</v>
      </c>
      <c r="BI49" s="17">
        <v>4.1322172729095503E-2</v>
      </c>
      <c r="BJ49" s="17">
        <v>0.18273360143466214</v>
      </c>
      <c r="BK49" s="17">
        <v>0.17826544733389479</v>
      </c>
      <c r="BL49" s="17">
        <v>3.1124477928222583E-3</v>
      </c>
      <c r="BM49" s="17">
        <v>0</v>
      </c>
      <c r="BN49" s="17">
        <v>1.8155945458129841E-5</v>
      </c>
      <c r="BO49" s="17">
        <v>2.9126982291350405E-2</v>
      </c>
      <c r="BP49" s="17">
        <v>4.3598037739278429E-2</v>
      </c>
      <c r="BQ49" s="17">
        <v>0.19279785948847539</v>
      </c>
      <c r="BR49" s="17">
        <v>0.18808361678910729</v>
      </c>
      <c r="BS49" s="17">
        <v>3.2838693459468753E-3</v>
      </c>
      <c r="BT49" s="17">
        <v>0</v>
      </c>
      <c r="BU49" s="17">
        <v>1.9155904518023445E-5</v>
      </c>
    </row>
    <row r="50" spans="1:73" x14ac:dyDescent="0.25">
      <c r="A50" s="172">
        <v>1121</v>
      </c>
      <c r="B50" t="s">
        <v>529</v>
      </c>
      <c r="C50" s="172">
        <v>3</v>
      </c>
      <c r="D50" s="172">
        <v>3</v>
      </c>
      <c r="E50" s="177" t="s">
        <v>641</v>
      </c>
      <c r="F50" s="177" t="s">
        <v>641</v>
      </c>
      <c r="G50" s="172" t="s">
        <v>424</v>
      </c>
      <c r="H50" s="172" t="s">
        <v>195</v>
      </c>
      <c r="I50" t="s">
        <v>495</v>
      </c>
      <c r="J50" t="s">
        <v>636</v>
      </c>
      <c r="K50">
        <v>230</v>
      </c>
      <c r="L50" t="s">
        <v>508</v>
      </c>
      <c r="M50" s="198">
        <v>37</v>
      </c>
      <c r="N50" s="198">
        <v>15</v>
      </c>
      <c r="O50" s="198">
        <v>28</v>
      </c>
      <c r="P50" s="198">
        <v>19</v>
      </c>
      <c r="Q50" s="199">
        <v>48871</v>
      </c>
      <c r="R50" t="s">
        <v>531</v>
      </c>
      <c r="S50" s="172">
        <v>7</v>
      </c>
      <c r="T50" s="172">
        <v>52</v>
      </c>
      <c r="U50" s="172">
        <v>24</v>
      </c>
      <c r="V50" s="172">
        <v>8736</v>
      </c>
      <c r="W50" s="219">
        <v>1600</v>
      </c>
      <c r="X50" s="219">
        <v>1600</v>
      </c>
      <c r="Y50" s="172">
        <v>15.14</v>
      </c>
      <c r="AA50" t="s">
        <v>642</v>
      </c>
      <c r="AB50" t="s">
        <v>500</v>
      </c>
      <c r="AE50" s="190">
        <v>64.825509999999994</v>
      </c>
      <c r="AF50" s="190">
        <v>-147.649688</v>
      </c>
      <c r="AH50" s="172">
        <v>0</v>
      </c>
      <c r="AI50" s="172">
        <v>0</v>
      </c>
      <c r="AJ50" s="172">
        <v>0</v>
      </c>
      <c r="AK50" s="172">
        <v>80</v>
      </c>
      <c r="AL50" s="172">
        <v>7</v>
      </c>
      <c r="AM50" s="172">
        <v>0</v>
      </c>
      <c r="AN50" s="172">
        <v>367</v>
      </c>
      <c r="AO50" s="172">
        <v>92362.8</v>
      </c>
      <c r="AP50" s="172">
        <v>40</v>
      </c>
      <c r="AQ50" s="172">
        <v>0</v>
      </c>
      <c r="AR50" s="172">
        <v>0</v>
      </c>
      <c r="AS50" s="217">
        <v>10200229</v>
      </c>
      <c r="AT50" s="17">
        <v>4.5397101947857239E-2</v>
      </c>
      <c r="AU50" s="17">
        <v>5.093333389271789E-2</v>
      </c>
      <c r="AV50" s="17">
        <v>0.4309016288594959</v>
      </c>
      <c r="AW50" s="17">
        <v>0.57130602783201456</v>
      </c>
      <c r="AX50" s="17">
        <v>3.8461252915758613E-3</v>
      </c>
      <c r="AY50" s="17">
        <v>0</v>
      </c>
      <c r="AZ50" s="17">
        <v>3.6448116298337511E-5</v>
      </c>
      <c r="BA50" s="17">
        <v>5.0295315664016273E-2</v>
      </c>
      <c r="BB50" s="17">
        <v>7.5283359206074499E-2</v>
      </c>
      <c r="BC50" s="17">
        <v>0.34815393006902962</v>
      </c>
      <c r="BD50" s="17">
        <v>0.32477531599444814</v>
      </c>
      <c r="BE50" s="17">
        <v>5.6704551024783613E-3</v>
      </c>
      <c r="BF50" s="17">
        <v>0</v>
      </c>
      <c r="BG50" s="17">
        <v>3.2058079595708419E-5</v>
      </c>
      <c r="BH50" s="17">
        <v>5.1224071009361632E-2</v>
      </c>
      <c r="BI50" s="17">
        <v>7.6673544780120312E-2</v>
      </c>
      <c r="BJ50" s="17">
        <v>0.35458295470652568</v>
      </c>
      <c r="BK50" s="17">
        <v>0.33077263019327074</v>
      </c>
      <c r="BL50" s="17">
        <v>5.7751659571064285E-3</v>
      </c>
      <c r="BM50" s="17">
        <v>0</v>
      </c>
      <c r="BN50" s="17">
        <v>3.2650065397824038E-5</v>
      </c>
      <c r="BO50" s="17">
        <v>5.4045294173342258E-2</v>
      </c>
      <c r="BP50" s="17">
        <v>8.0896426256265544E-2</v>
      </c>
      <c r="BQ50" s="17">
        <v>0.3741120086387662</v>
      </c>
      <c r="BR50" s="17">
        <v>0.34899030379718066</v>
      </c>
      <c r="BS50" s="17">
        <v>6.0932396996452301E-3</v>
      </c>
      <c r="BT50" s="17">
        <v>0</v>
      </c>
      <c r="BU50" s="17">
        <v>3.4448304370064037E-5</v>
      </c>
    </row>
    <row r="51" spans="1:73" x14ac:dyDescent="0.25">
      <c r="A51" s="172">
        <v>1121</v>
      </c>
      <c r="B51" t="s">
        <v>529</v>
      </c>
      <c r="C51" s="172">
        <v>4</v>
      </c>
      <c r="D51" s="172" t="s">
        <v>532</v>
      </c>
      <c r="E51" s="177" t="s">
        <v>643</v>
      </c>
      <c r="F51" s="177" t="s">
        <v>644</v>
      </c>
      <c r="G51" s="172" t="s">
        <v>424</v>
      </c>
      <c r="H51" s="172" t="s">
        <v>195</v>
      </c>
      <c r="I51" t="s">
        <v>495</v>
      </c>
      <c r="J51" t="s">
        <v>636</v>
      </c>
      <c r="K51">
        <v>230</v>
      </c>
      <c r="L51" t="s">
        <v>508</v>
      </c>
      <c r="M51" s="198">
        <v>32</v>
      </c>
      <c r="N51" s="198">
        <v>14</v>
      </c>
      <c r="O51" s="198">
        <v>22</v>
      </c>
      <c r="P51" s="198">
        <v>32</v>
      </c>
      <c r="Q51" s="199">
        <v>52577</v>
      </c>
      <c r="R51" t="s">
        <v>531</v>
      </c>
      <c r="S51" s="172">
        <v>7</v>
      </c>
      <c r="T51" s="172">
        <v>52</v>
      </c>
      <c r="U51" s="172">
        <v>24</v>
      </c>
      <c r="V51" s="172">
        <v>8736</v>
      </c>
      <c r="W51" s="219">
        <v>1600</v>
      </c>
      <c r="X51" s="219">
        <v>1600</v>
      </c>
      <c r="Y51" s="172">
        <v>15.14</v>
      </c>
      <c r="AA51" t="s">
        <v>645</v>
      </c>
      <c r="AB51" t="s">
        <v>500</v>
      </c>
      <c r="AE51" s="190">
        <v>64.825467000000003</v>
      </c>
      <c r="AF51" s="190">
        <v>-147.64968300000001</v>
      </c>
      <c r="AH51" s="172">
        <v>0</v>
      </c>
      <c r="AI51" s="172">
        <v>0</v>
      </c>
      <c r="AJ51" s="172">
        <v>0</v>
      </c>
      <c r="AK51" s="172">
        <v>80</v>
      </c>
      <c r="AL51" s="172">
        <v>7</v>
      </c>
      <c r="AM51" s="172">
        <v>0</v>
      </c>
      <c r="AN51" s="172">
        <v>367</v>
      </c>
      <c r="AO51" s="172">
        <v>92362.8</v>
      </c>
      <c r="AP51" s="172">
        <v>40</v>
      </c>
      <c r="AQ51" s="172">
        <v>0</v>
      </c>
      <c r="AR51" s="172">
        <v>0</v>
      </c>
      <c r="AS51" s="217">
        <v>10200229</v>
      </c>
      <c r="AT51" s="17">
        <v>7.2733021083346422E-2</v>
      </c>
      <c r="AU51" s="17">
        <v>8.1602901703266686E-2</v>
      </c>
      <c r="AV51" s="17">
        <v>0.5915678241047837</v>
      </c>
      <c r="AW51" s="17">
        <v>0.91679653962766794</v>
      </c>
      <c r="AX51" s="17">
        <v>5.5071395061642601E-3</v>
      </c>
      <c r="AY51" s="17">
        <v>0</v>
      </c>
      <c r="AZ51" s="17">
        <v>5.8449442183709762E-5</v>
      </c>
      <c r="BA51" s="17">
        <v>7.9482953392478864E-2</v>
      </c>
      <c r="BB51" s="17">
        <v>0.1189721876084521</v>
      </c>
      <c r="BC51" s="17">
        <v>0.48332128951683284</v>
      </c>
      <c r="BD51" s="17">
        <v>0.51325060720680571</v>
      </c>
      <c r="BE51" s="17">
        <v>8.6469965182446283E-3</v>
      </c>
      <c r="BF51" s="17">
        <v>0</v>
      </c>
      <c r="BG51" s="17">
        <v>5.1252864504725486E-5</v>
      </c>
      <c r="BH51" s="17">
        <v>8.0950688843633725E-2</v>
      </c>
      <c r="BI51" s="17">
        <v>0.12116913286528117</v>
      </c>
      <c r="BJ51" s="17">
        <v>0.49224632011325309</v>
      </c>
      <c r="BK51" s="17">
        <v>0.52272831380138052</v>
      </c>
      <c r="BL51" s="17">
        <v>8.806672307758525E-3</v>
      </c>
      <c r="BM51" s="17">
        <v>0</v>
      </c>
      <c r="BN51" s="17">
        <v>5.219930198592181E-5</v>
      </c>
      <c r="BO51" s="17">
        <v>8.540913882634027E-2</v>
      </c>
      <c r="BP51" s="17">
        <v>0.12784265876166101</v>
      </c>
      <c r="BQ51" s="17">
        <v>0.51935733829909647</v>
      </c>
      <c r="BR51" s="17">
        <v>0.55151816197833348</v>
      </c>
      <c r="BS51" s="17">
        <v>9.2917096627101493E-3</v>
      </c>
      <c r="BT51" s="17">
        <v>0</v>
      </c>
      <c r="BU51" s="17">
        <v>5.5074237089759759E-5</v>
      </c>
    </row>
    <row r="52" spans="1:73" x14ac:dyDescent="0.25">
      <c r="A52" s="172">
        <v>1121</v>
      </c>
      <c r="B52" t="s">
        <v>529</v>
      </c>
      <c r="C52" s="172">
        <v>5</v>
      </c>
      <c r="D52" s="172" t="s">
        <v>533</v>
      </c>
      <c r="E52" s="177" t="s">
        <v>646</v>
      </c>
      <c r="F52" s="177" t="s">
        <v>647</v>
      </c>
      <c r="G52" s="172" t="s">
        <v>424</v>
      </c>
      <c r="H52" s="172" t="s">
        <v>195</v>
      </c>
      <c r="I52" t="s">
        <v>495</v>
      </c>
      <c r="J52" t="s">
        <v>636</v>
      </c>
      <c r="K52">
        <v>230</v>
      </c>
      <c r="L52" t="s">
        <v>508</v>
      </c>
      <c r="M52" s="198">
        <v>29</v>
      </c>
      <c r="N52" s="198">
        <v>22</v>
      </c>
      <c r="O52" s="198">
        <v>32</v>
      </c>
      <c r="P52" s="198">
        <v>17</v>
      </c>
      <c r="Q52" s="199">
        <v>59066</v>
      </c>
      <c r="R52" t="s">
        <v>531</v>
      </c>
      <c r="S52" s="172">
        <v>7</v>
      </c>
      <c r="T52" s="172">
        <v>52</v>
      </c>
      <c r="U52" s="172">
        <v>24</v>
      </c>
      <c r="V52" s="172">
        <v>8736</v>
      </c>
      <c r="W52" s="219">
        <v>1600</v>
      </c>
      <c r="X52" s="219">
        <v>1600</v>
      </c>
      <c r="Y52" s="172">
        <v>15.14</v>
      </c>
      <c r="AA52" t="s">
        <v>648</v>
      </c>
      <c r="AB52" t="s">
        <v>500</v>
      </c>
      <c r="AE52" s="190">
        <v>64.825402999999994</v>
      </c>
      <c r="AF52" s="190">
        <v>-147.64968300000001</v>
      </c>
      <c r="AH52" s="172">
        <v>0</v>
      </c>
      <c r="AI52" s="172">
        <v>0</v>
      </c>
      <c r="AJ52" s="172">
        <v>0</v>
      </c>
      <c r="AK52" s="172">
        <v>80</v>
      </c>
      <c r="AL52" s="172">
        <v>7</v>
      </c>
      <c r="AM52" s="172">
        <v>0</v>
      </c>
      <c r="AN52" s="172">
        <v>367</v>
      </c>
      <c r="AO52" s="172">
        <v>92362.8</v>
      </c>
      <c r="AP52" s="172">
        <v>40</v>
      </c>
      <c r="AQ52" s="172">
        <v>0</v>
      </c>
      <c r="AR52" s="172">
        <v>0</v>
      </c>
      <c r="AS52" s="217">
        <v>10200229</v>
      </c>
      <c r="AT52" s="17">
        <v>5.9943207776238884E-2</v>
      </c>
      <c r="AU52" s="17">
        <v>6.7253355066024131E-2</v>
      </c>
      <c r="AV52" s="17">
        <v>0.48782836431025772</v>
      </c>
      <c r="AW52" s="17">
        <v>0.75649826970349909</v>
      </c>
      <c r="AX52" s="17">
        <v>4.5878995258236983E-3</v>
      </c>
      <c r="AY52" s="17">
        <v>0</v>
      </c>
      <c r="AZ52" s="17">
        <v>4.8985264852807708E-5</v>
      </c>
      <c r="BA52" s="17">
        <v>6.5263142107850752E-2</v>
      </c>
      <c r="BB52" s="17">
        <v>9.7687597847955818E-2</v>
      </c>
      <c r="BC52" s="17">
        <v>0.39997066439314227</v>
      </c>
      <c r="BD52" s="17">
        <v>0.42175296434479725</v>
      </c>
      <c r="BE52" s="17">
        <v>7.3579758330058588E-3</v>
      </c>
      <c r="BF52" s="17">
        <v>0</v>
      </c>
      <c r="BG52" s="17">
        <v>4.2921525692534179E-5</v>
      </c>
      <c r="BH52" s="17">
        <v>6.6468293945282544E-2</v>
      </c>
      <c r="BI52" s="17">
        <v>9.9491501004291882E-2</v>
      </c>
      <c r="BJ52" s="17">
        <v>0.40735653895486085</v>
      </c>
      <c r="BK52" s="17">
        <v>0.42954107174364853</v>
      </c>
      <c r="BL52" s="17">
        <v>7.4938485141015946E-3</v>
      </c>
      <c r="BM52" s="17">
        <v>0</v>
      </c>
      <c r="BN52" s="17">
        <v>4.3714116332259291E-5</v>
      </c>
      <c r="BO52" s="17">
        <v>7.0129109785445495E-2</v>
      </c>
      <c r="BP52" s="17">
        <v>0.10497110701220191</v>
      </c>
      <c r="BQ52" s="17">
        <v>0.42979215723065922</v>
      </c>
      <c r="BR52" s="17">
        <v>0.45319852804505739</v>
      </c>
      <c r="BS52" s="17">
        <v>7.9065806261487074E-3</v>
      </c>
      <c r="BT52" s="17">
        <v>0</v>
      </c>
      <c r="BU52" s="17">
        <v>4.6121720319200786E-5</v>
      </c>
    </row>
    <row r="53" spans="1:73" x14ac:dyDescent="0.25">
      <c r="A53" s="172">
        <v>1121</v>
      </c>
      <c r="B53" t="s">
        <v>529</v>
      </c>
      <c r="C53" s="172">
        <v>6</v>
      </c>
      <c r="D53" s="172" t="s">
        <v>534</v>
      </c>
      <c r="E53" s="177" t="s">
        <v>649</v>
      </c>
      <c r="F53" s="177" t="s">
        <v>650</v>
      </c>
      <c r="G53" s="172" t="s">
        <v>424</v>
      </c>
      <c r="H53" s="172" t="s">
        <v>195</v>
      </c>
      <c r="I53" t="s">
        <v>495</v>
      </c>
      <c r="J53" t="s">
        <v>636</v>
      </c>
      <c r="K53">
        <v>230</v>
      </c>
      <c r="L53" t="s">
        <v>508</v>
      </c>
      <c r="M53" s="198">
        <v>27</v>
      </c>
      <c r="N53" s="198">
        <v>31</v>
      </c>
      <c r="O53" s="198">
        <v>36</v>
      </c>
      <c r="P53" s="198">
        <v>6</v>
      </c>
      <c r="Q53" s="199">
        <v>53547</v>
      </c>
      <c r="R53" t="s">
        <v>531</v>
      </c>
      <c r="S53" s="172">
        <v>7</v>
      </c>
      <c r="T53" s="172">
        <v>52</v>
      </c>
      <c r="U53" s="172">
        <v>24</v>
      </c>
      <c r="V53" s="172">
        <v>8736</v>
      </c>
      <c r="W53" s="219">
        <v>1600</v>
      </c>
      <c r="X53" s="219">
        <v>1600</v>
      </c>
      <c r="Y53" s="172">
        <v>15.14</v>
      </c>
      <c r="AA53" t="s">
        <v>651</v>
      </c>
      <c r="AB53" t="s">
        <v>500</v>
      </c>
      <c r="AE53" s="190">
        <v>64.825360000000003</v>
      </c>
      <c r="AF53" s="190">
        <v>-147.649674</v>
      </c>
      <c r="AH53" s="172">
        <v>0</v>
      </c>
      <c r="AI53" s="172">
        <v>0</v>
      </c>
      <c r="AJ53" s="172">
        <v>0</v>
      </c>
      <c r="AK53" s="172">
        <v>80</v>
      </c>
      <c r="AL53" s="172">
        <v>7</v>
      </c>
      <c r="AM53" s="172">
        <v>0</v>
      </c>
      <c r="AN53" s="172">
        <v>367</v>
      </c>
      <c r="AO53" s="172">
        <v>92362.8</v>
      </c>
      <c r="AP53" s="172">
        <v>40</v>
      </c>
      <c r="AQ53" s="172">
        <v>0</v>
      </c>
      <c r="AR53" s="172">
        <v>0</v>
      </c>
      <c r="AS53" s="217">
        <v>10200229</v>
      </c>
      <c r="AT53" s="17">
        <v>7.8331118594648474E-2</v>
      </c>
      <c r="AU53" s="17">
        <v>8.7883694033020252E-2</v>
      </c>
      <c r="AV53" s="17">
        <v>0.64704038065180414</v>
      </c>
      <c r="AW53" s="17">
        <v>0.95394813781518906</v>
      </c>
      <c r="AX53" s="17">
        <v>6.1342691150901183E-3</v>
      </c>
      <c r="AY53" s="17">
        <v>0</v>
      </c>
      <c r="AZ53" s="17">
        <v>6.3202927378158433E-5</v>
      </c>
      <c r="BA53" s="17">
        <v>8.5666754507028819E-2</v>
      </c>
      <c r="BB53" s="17">
        <v>0.12822826472854568</v>
      </c>
      <c r="BC53" s="17">
        <v>0.52835633465026921</v>
      </c>
      <c r="BD53" s="17">
        <v>0.53425599845672833</v>
      </c>
      <c r="BE53" s="17">
        <v>9.6214665441727177E-3</v>
      </c>
      <c r="BF53" s="17">
        <v>0</v>
      </c>
      <c r="BG53" s="17">
        <v>5.5431310240565759E-5</v>
      </c>
      <c r="BH53" s="17">
        <v>8.7248680281156427E-2</v>
      </c>
      <c r="BI53" s="17">
        <v>0.13059613308206319</v>
      </c>
      <c r="BJ53" s="17">
        <v>0.53811298422240017</v>
      </c>
      <c r="BK53" s="17">
        <v>0.54412159146074057</v>
      </c>
      <c r="BL53" s="17">
        <v>9.7991369368322697E-3</v>
      </c>
      <c r="BM53" s="17">
        <v>0</v>
      </c>
      <c r="BN53" s="17">
        <v>5.6454907070722568E-5</v>
      </c>
      <c r="BO53" s="17">
        <v>9.2053999206139034E-2</v>
      </c>
      <c r="BP53" s="17">
        <v>0.13778886158874662</v>
      </c>
      <c r="BQ53" s="17">
        <v>0.56775016037830384</v>
      </c>
      <c r="BR53" s="17">
        <v>0.5740896983995758</v>
      </c>
      <c r="BS53" s="17">
        <v>1.0338835394382762E-2</v>
      </c>
      <c r="BT53" s="17">
        <v>0</v>
      </c>
      <c r="BU53" s="17">
        <v>5.9564224397711026E-5</v>
      </c>
    </row>
    <row r="54" spans="1:73" x14ac:dyDescent="0.25">
      <c r="A54" s="173">
        <v>1121</v>
      </c>
      <c r="B54" s="7" t="s">
        <v>529</v>
      </c>
      <c r="C54" s="173">
        <v>7</v>
      </c>
      <c r="D54" s="173" t="s">
        <v>535</v>
      </c>
      <c r="E54" s="193" t="s">
        <v>652</v>
      </c>
      <c r="F54" s="193" t="s">
        <v>653</v>
      </c>
      <c r="G54" s="173" t="s">
        <v>424</v>
      </c>
      <c r="H54" s="173" t="s">
        <v>195</v>
      </c>
      <c r="I54" s="7" t="s">
        <v>433</v>
      </c>
      <c r="J54" s="7" t="s">
        <v>572</v>
      </c>
      <c r="K54" s="7" t="s">
        <v>572</v>
      </c>
      <c r="L54" s="7" t="s">
        <v>572</v>
      </c>
      <c r="M54" s="204">
        <v>25</v>
      </c>
      <c r="N54" s="204">
        <v>25</v>
      </c>
      <c r="O54" s="204">
        <v>25</v>
      </c>
      <c r="P54" s="204">
        <v>25</v>
      </c>
      <c r="Q54" s="195">
        <v>2161</v>
      </c>
      <c r="R54" s="7" t="s">
        <v>536</v>
      </c>
      <c r="S54" s="173">
        <v>7</v>
      </c>
      <c r="T54" s="173">
        <v>52</v>
      </c>
      <c r="U54" s="173">
        <v>24</v>
      </c>
      <c r="V54" s="173">
        <v>5627</v>
      </c>
      <c r="W54" s="235">
        <v>1600</v>
      </c>
      <c r="X54" s="235">
        <v>1600</v>
      </c>
      <c r="Y54" s="173">
        <v>15.14</v>
      </c>
      <c r="Z54" s="7" t="s">
        <v>445</v>
      </c>
      <c r="AA54" s="7" t="s">
        <v>654</v>
      </c>
      <c r="AB54" s="7" t="s">
        <v>655</v>
      </c>
      <c r="AC54" s="7"/>
      <c r="AD54" s="7"/>
      <c r="AE54" s="197">
        <v>64.825059999999993</v>
      </c>
      <c r="AF54" s="197">
        <v>-147.64892</v>
      </c>
      <c r="AG54" s="7"/>
      <c r="AH54" s="173">
        <v>0</v>
      </c>
      <c r="AI54" s="173">
        <v>0</v>
      </c>
      <c r="AJ54" s="173">
        <v>0</v>
      </c>
      <c r="AK54" s="173">
        <v>1</v>
      </c>
      <c r="AL54" s="173">
        <v>1</v>
      </c>
      <c r="AM54" s="173">
        <v>0</v>
      </c>
      <c r="AN54" s="173">
        <v>30</v>
      </c>
      <c r="AO54" s="173">
        <v>47.1</v>
      </c>
      <c r="AP54" s="173">
        <v>1</v>
      </c>
      <c r="AQ54" s="173">
        <v>0</v>
      </c>
      <c r="AR54" s="173">
        <v>0</v>
      </c>
      <c r="AS54" s="173">
        <v>20200102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2">
        <v>0</v>
      </c>
      <c r="BQ54" s="32">
        <v>0</v>
      </c>
      <c r="BR54" s="32">
        <v>0</v>
      </c>
      <c r="BS54" s="32">
        <v>0</v>
      </c>
      <c r="BT54" s="32">
        <v>0</v>
      </c>
      <c r="BU54" s="32">
        <v>0</v>
      </c>
    </row>
    <row r="56" spans="1:73" x14ac:dyDescent="0.25">
      <c r="AS56" s="1" t="s">
        <v>537</v>
      </c>
      <c r="AT56" s="72">
        <v>1.2387082423828786</v>
      </c>
      <c r="AU56" s="72">
        <v>1.2827120855944087</v>
      </c>
      <c r="AV56" s="72">
        <v>7.4036076227585887</v>
      </c>
      <c r="AW56" s="72">
        <v>10.573378405915971</v>
      </c>
      <c r="AX56" s="72">
        <v>0.1597087476056461</v>
      </c>
      <c r="AY56" s="72">
        <v>0</v>
      </c>
      <c r="AZ56" s="72">
        <v>5.1361584780917402E-2</v>
      </c>
      <c r="BA56" s="72">
        <v>0.8271043588971021</v>
      </c>
      <c r="BB56" s="72">
        <v>1.0393648802362754</v>
      </c>
      <c r="BC56" s="72">
        <v>7.1867454166846683</v>
      </c>
      <c r="BD56" s="72">
        <v>10.562475363955816</v>
      </c>
      <c r="BE56" s="72">
        <v>5.7789098708667663E-2</v>
      </c>
      <c r="BF56" s="72">
        <v>0</v>
      </c>
      <c r="BG56" s="72">
        <v>1.9369349760437124E-2</v>
      </c>
      <c r="BH56" s="72">
        <v>0.84237770163970915</v>
      </c>
      <c r="BI56" s="72">
        <v>1.058557834401872</v>
      </c>
      <c r="BJ56" s="72">
        <v>7.31945614994601</v>
      </c>
      <c r="BK56" s="72">
        <v>10.757522463766964</v>
      </c>
      <c r="BL56" s="72">
        <v>5.8856234556604388E-2</v>
      </c>
      <c r="BM56" s="72">
        <v>0</v>
      </c>
      <c r="BN56" s="72">
        <v>1.972702496116641E-2</v>
      </c>
      <c r="BO56" s="72">
        <v>0.88877259837199674</v>
      </c>
      <c r="BP56" s="72">
        <v>1.1168590944146095</v>
      </c>
      <c r="BQ56" s="72">
        <v>7.722583406938023</v>
      </c>
      <c r="BR56" s="72">
        <v>11.350005079142742</v>
      </c>
      <c r="BS56" s="72">
        <v>6.2097807688217113E-2</v>
      </c>
      <c r="BT56" s="72">
        <v>0</v>
      </c>
      <c r="BU56" s="72">
        <v>2.0813512986819327E-2</v>
      </c>
    </row>
    <row r="59" spans="1:73" x14ac:dyDescent="0.25">
      <c r="BO59" s="172" t="s">
        <v>656</v>
      </c>
    </row>
    <row r="60" spans="1:73" x14ac:dyDescent="0.25">
      <c r="BN60" t="s">
        <v>658</v>
      </c>
      <c r="BQ60" s="17">
        <f>SUM(BQ45:BQ46)</f>
        <v>0.16994886287523508</v>
      </c>
    </row>
    <row r="61" spans="1:73" x14ac:dyDescent="0.25">
      <c r="BN61" t="s">
        <v>657</v>
      </c>
      <c r="BQ61" s="17">
        <f>BQ60*896/4400</f>
        <v>3.460776844004787E-2</v>
      </c>
    </row>
    <row r="62" spans="1:73" x14ac:dyDescent="0.25">
      <c r="BN62" t="s">
        <v>659</v>
      </c>
      <c r="BQ62" s="254">
        <f>BQ60-BQ61</f>
        <v>0.13534109443518721</v>
      </c>
      <c r="BR62" t="s">
        <v>660</v>
      </c>
    </row>
  </sheetData>
  <mergeCells count="6">
    <mergeCell ref="M4:U4"/>
    <mergeCell ref="A1:BU1"/>
    <mergeCell ref="AT3:AZ3"/>
    <mergeCell ref="BA3:BG3"/>
    <mergeCell ref="BH3:BN3"/>
    <mergeCell ref="BO3:BU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3"/>
  <sheetViews>
    <sheetView workbookViewId="0"/>
  </sheetViews>
  <sheetFormatPr defaultRowHeight="15" x14ac:dyDescent="0.25"/>
  <sheetData>
    <row r="4" spans="1:4" x14ac:dyDescent="0.25">
      <c r="A4" s="228" t="s">
        <v>465</v>
      </c>
      <c r="B4" s="275" t="s">
        <v>466</v>
      </c>
      <c r="C4" s="275"/>
      <c r="D4" s="275"/>
    </row>
    <row r="5" spans="1:4" x14ac:dyDescent="0.25">
      <c r="A5" s="229" t="s">
        <v>130</v>
      </c>
      <c r="B5" s="230" t="s">
        <v>467</v>
      </c>
      <c r="C5" s="230" t="s">
        <v>468</v>
      </c>
      <c r="D5" s="230" t="s">
        <v>469</v>
      </c>
    </row>
    <row r="6" spans="1:4" x14ac:dyDescent="0.25">
      <c r="A6" s="231">
        <v>2013</v>
      </c>
      <c r="B6" s="232">
        <v>1</v>
      </c>
      <c r="C6" s="232" t="s">
        <v>470</v>
      </c>
      <c r="D6" s="232" t="s">
        <v>470</v>
      </c>
    </row>
    <row r="7" spans="1:4" x14ac:dyDescent="0.25">
      <c r="A7" s="231">
        <v>2015</v>
      </c>
      <c r="B7" s="232">
        <v>1.0189086752527841</v>
      </c>
      <c r="C7" s="232">
        <v>1</v>
      </c>
      <c r="D7" s="232" t="s">
        <v>470</v>
      </c>
    </row>
    <row r="8" spans="1:4" x14ac:dyDescent="0.25">
      <c r="A8" s="231">
        <v>2016</v>
      </c>
      <c r="B8" s="232">
        <v>1.0283630128791761</v>
      </c>
      <c r="C8" s="232">
        <v>1.0092788861808901</v>
      </c>
      <c r="D8" s="232">
        <v>1</v>
      </c>
    </row>
    <row r="9" spans="1:4" x14ac:dyDescent="0.25">
      <c r="A9" s="231">
        <v>2017</v>
      </c>
      <c r="B9" s="232">
        <v>1.0378173505055683</v>
      </c>
      <c r="C9" s="232">
        <v>1.0185577723617802</v>
      </c>
      <c r="D9" s="232">
        <v>1.0091935799984895</v>
      </c>
    </row>
    <row r="10" spans="1:4" x14ac:dyDescent="0.25">
      <c r="A10" s="231">
        <v>2019</v>
      </c>
      <c r="B10" s="232">
        <v>1.0569817279241958</v>
      </c>
      <c r="C10" s="232">
        <v>1.0373665016268176</v>
      </c>
      <c r="D10" s="232">
        <v>1.0278293897063586</v>
      </c>
    </row>
    <row r="11" spans="1:4" x14ac:dyDescent="0.25">
      <c r="A11" s="231">
        <v>2020</v>
      </c>
      <c r="B11" s="232">
        <v>1.0835463058161316</v>
      </c>
      <c r="C11" s="232">
        <v>1.0634381001293483</v>
      </c>
      <c r="D11" s="232">
        <v>1.0536612968823678</v>
      </c>
    </row>
    <row r="12" spans="1:4" x14ac:dyDescent="0.25">
      <c r="A12" s="231">
        <v>2021</v>
      </c>
      <c r="B12" s="232">
        <v>1.1151961821049072</v>
      </c>
      <c r="C12" s="232">
        <v>1.0945006252186782</v>
      </c>
      <c r="D12" s="232">
        <v>1.0844382461623339</v>
      </c>
    </row>
    <row r="13" spans="1:4" x14ac:dyDescent="0.25">
      <c r="A13" s="231">
        <v>2022</v>
      </c>
      <c r="B13" s="232">
        <v>1.1290930196598901</v>
      </c>
      <c r="C13" s="232">
        <v>1.1081395684257669</v>
      </c>
      <c r="D13" s="232">
        <v>1.0979517986539535</v>
      </c>
    </row>
    <row r="14" spans="1:4" x14ac:dyDescent="0.25">
      <c r="A14" s="231">
        <v>2023</v>
      </c>
      <c r="B14" s="232">
        <v>1.1367245525284733</v>
      </c>
      <c r="C14" s="232">
        <v>1.1156294770446036</v>
      </c>
      <c r="D14" s="232">
        <v>1.1053728481987213</v>
      </c>
    </row>
    <row r="15" spans="1:4" x14ac:dyDescent="0.25">
      <c r="A15" s="231">
        <v>2024</v>
      </c>
      <c r="B15" s="232">
        <v>1.1446277248765229</v>
      </c>
      <c r="C15" s="232">
        <v>1.1233859841192821</v>
      </c>
      <c r="D15" s="232">
        <v>1.1130580452051</v>
      </c>
    </row>
    <row r="16" spans="1:4" x14ac:dyDescent="0.25">
      <c r="A16" s="231">
        <v>2025</v>
      </c>
      <c r="B16" s="232">
        <v>1.152721044860207</v>
      </c>
      <c r="C16" s="232">
        <v>1.131329110113058</v>
      </c>
      <c r="D16" s="232">
        <v>1.1209281454346141</v>
      </c>
    </row>
    <row r="17" spans="1:4" x14ac:dyDescent="0.25">
      <c r="A17" s="231">
        <v>2026</v>
      </c>
      <c r="B17" s="232">
        <v>1.1604952016922887</v>
      </c>
      <c r="C17" s="232">
        <v>1.1389589959123452</v>
      </c>
      <c r="D17" s="232">
        <v>1.1284878852684261</v>
      </c>
    </row>
    <row r="18" spans="1:4" x14ac:dyDescent="0.25">
      <c r="A18" s="231">
        <v>2027</v>
      </c>
      <c r="B18" s="232">
        <v>1.1682693585243704</v>
      </c>
      <c r="C18" s="232">
        <v>1.1465888817116323</v>
      </c>
      <c r="D18" s="232">
        <v>1.1360476251022382</v>
      </c>
    </row>
    <row r="19" spans="1:4" x14ac:dyDescent="0.25">
      <c r="A19" s="231">
        <v>2028</v>
      </c>
      <c r="B19" s="232">
        <v>1.1760435153564521</v>
      </c>
      <c r="C19" s="232">
        <v>1.1542187675109195</v>
      </c>
      <c r="D19" s="232">
        <v>1.1436073649360503</v>
      </c>
    </row>
    <row r="20" spans="1:4" x14ac:dyDescent="0.25">
      <c r="A20" s="231">
        <v>2029</v>
      </c>
      <c r="B20" s="232">
        <v>1.1838176721885338</v>
      </c>
      <c r="C20" s="232">
        <v>1.1618486533102066</v>
      </c>
      <c r="D20" s="232">
        <v>1.1511671047698624</v>
      </c>
    </row>
    <row r="21" spans="1:4" x14ac:dyDescent="0.25">
      <c r="A21" s="231">
        <v>2030</v>
      </c>
      <c r="B21" s="232">
        <v>1.1915918290206156</v>
      </c>
      <c r="C21" s="232">
        <v>1.1694785391094937</v>
      </c>
      <c r="D21" s="232">
        <v>1.1587268446036745</v>
      </c>
    </row>
    <row r="22" spans="1:4" x14ac:dyDescent="0.25">
      <c r="A22" s="231">
        <v>2031</v>
      </c>
      <c r="B22" s="232">
        <v>1.1975755920305688</v>
      </c>
      <c r="C22" s="232">
        <v>1.1753512568076416</v>
      </c>
      <c r="D22" s="232">
        <v>1.1645455710018557</v>
      </c>
    </row>
    <row r="23" spans="1:4" x14ac:dyDescent="0.25">
      <c r="A23" s="231">
        <v>2032</v>
      </c>
      <c r="B23" s="232">
        <v>1.2035593550405219</v>
      </c>
      <c r="C23" s="232">
        <v>1.1812239745057891</v>
      </c>
      <c r="D23" s="232">
        <v>1.1703642974000368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5PctProgress</vt:lpstr>
      <vt:lpstr>STF-12</vt:lpstr>
      <vt:lpstr>2019_cntl</vt:lpstr>
      <vt:lpstr>EFs-BTU</vt:lpstr>
      <vt:lpstr>DevSumOut-2021PB</vt:lpstr>
      <vt:lpstr>AnnEmis2016-GVEA#1</vt:lpstr>
      <vt:lpstr>AnnEmis2016-GVEA</vt:lpstr>
      <vt:lpstr>EmissionUnit_Tabulations</vt:lpstr>
      <vt:lpstr>PopnFactors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Carlson</dc:creator>
  <cp:lastModifiedBy>Buck, Teri</cp:lastModifiedBy>
  <dcterms:created xsi:type="dcterms:W3CDTF">2019-07-11T17:35:18Z</dcterms:created>
  <dcterms:modified xsi:type="dcterms:W3CDTF">2019-07-18T22:17:30Z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2d7d782a-ac84-4b9a-bce0-ccc3cef32bd0</vt:lpwstr>
  </property>
</Properties>
</file>